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joelapaglia/Desktop/"/>
    </mc:Choice>
  </mc:AlternateContent>
  <xr:revisionPtr revIDLastSave="0" documentId="8_{7DEBCC64-E1B5-BA43-ACD0-4588B2ADD0F8}" xr6:coauthVersionLast="47" xr6:coauthVersionMax="47" xr10:uidLastSave="{00000000-0000-0000-0000-000000000000}"/>
  <bookViews>
    <workbookView xWindow="0" yWindow="600" windowWidth="35840" windowHeight="20140" tabRatio="500" activeTab="1" xr2:uid="{00000000-000D-0000-FFFF-FFFF00000000}"/>
  </bookViews>
  <sheets>
    <sheet name="Read Me" sheetId="1" r:id="rId1"/>
    <sheet name="Calculator" sheetId="2" r:id="rId2"/>
    <sheet name="Anniversary Date Chart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69" i="3" l="1"/>
  <c r="B369" i="3" s="1"/>
  <c r="C369" i="3" s="1"/>
  <c r="A368" i="3"/>
  <c r="B368" i="3" s="1"/>
  <c r="C368" i="3" s="1"/>
  <c r="A367" i="3"/>
  <c r="B367" i="3" s="1"/>
  <c r="C367" i="3" s="1"/>
  <c r="A366" i="3"/>
  <c r="B366" i="3" s="1"/>
  <c r="C366" i="3" s="1"/>
  <c r="A365" i="3"/>
  <c r="B365" i="3" s="1"/>
  <c r="C365" i="3" s="1"/>
  <c r="A364" i="3"/>
  <c r="B364" i="3" s="1"/>
  <c r="C364" i="3" s="1"/>
  <c r="A363" i="3"/>
  <c r="B363" i="3" s="1"/>
  <c r="C363" i="3" s="1"/>
  <c r="A362" i="3"/>
  <c r="B362" i="3" s="1"/>
  <c r="C362" i="3" s="1"/>
  <c r="A361" i="3"/>
  <c r="B361" i="3" s="1"/>
  <c r="C361" i="3" s="1"/>
  <c r="A360" i="3"/>
  <c r="B360" i="3" s="1"/>
  <c r="C360" i="3" s="1"/>
  <c r="A359" i="3"/>
  <c r="B359" i="3" s="1"/>
  <c r="C359" i="3" s="1"/>
  <c r="A358" i="3"/>
  <c r="B358" i="3" s="1"/>
  <c r="C358" i="3" s="1"/>
  <c r="A357" i="3"/>
  <c r="B357" i="3" s="1"/>
  <c r="C357" i="3" s="1"/>
  <c r="A356" i="3"/>
  <c r="B356" i="3" s="1"/>
  <c r="C356" i="3" s="1"/>
  <c r="A355" i="3"/>
  <c r="B355" i="3" s="1"/>
  <c r="C355" i="3" s="1"/>
  <c r="A354" i="3"/>
  <c r="B354" i="3" s="1"/>
  <c r="C354" i="3" s="1"/>
  <c r="A353" i="3"/>
  <c r="B353" i="3" s="1"/>
  <c r="C353" i="3" s="1"/>
  <c r="A352" i="3"/>
  <c r="B352" i="3" s="1"/>
  <c r="C352" i="3" s="1"/>
  <c r="A351" i="3"/>
  <c r="B351" i="3" s="1"/>
  <c r="C351" i="3" s="1"/>
  <c r="A350" i="3"/>
  <c r="B350" i="3" s="1"/>
  <c r="C350" i="3" s="1"/>
  <c r="A349" i="3"/>
  <c r="B349" i="3" s="1"/>
  <c r="C349" i="3" s="1"/>
  <c r="A348" i="3"/>
  <c r="B348" i="3" s="1"/>
  <c r="C348" i="3" s="1"/>
  <c r="A347" i="3"/>
  <c r="B347" i="3" s="1"/>
  <c r="C347" i="3" s="1"/>
  <c r="A346" i="3"/>
  <c r="B346" i="3" s="1"/>
  <c r="C346" i="3" s="1"/>
  <c r="A345" i="3"/>
  <c r="B345" i="3" s="1"/>
  <c r="C345" i="3" s="1"/>
  <c r="A344" i="3"/>
  <c r="B344" i="3" s="1"/>
  <c r="C344" i="3" s="1"/>
  <c r="A343" i="3"/>
  <c r="B343" i="3" s="1"/>
  <c r="C343" i="3" s="1"/>
  <c r="A342" i="3"/>
  <c r="B342" i="3" s="1"/>
  <c r="C342" i="3" s="1"/>
  <c r="A341" i="3"/>
  <c r="B341" i="3" s="1"/>
  <c r="C341" i="3" s="1"/>
  <c r="A340" i="3"/>
  <c r="B340" i="3" s="1"/>
  <c r="C340" i="3" s="1"/>
  <c r="A339" i="3"/>
  <c r="B339" i="3" s="1"/>
  <c r="C339" i="3" s="1"/>
  <c r="A338" i="3"/>
  <c r="B338" i="3" s="1"/>
  <c r="C338" i="3" s="1"/>
  <c r="A337" i="3"/>
  <c r="B337" i="3" s="1"/>
  <c r="C337" i="3" s="1"/>
  <c r="A336" i="3"/>
  <c r="B336" i="3" s="1"/>
  <c r="C336" i="3" s="1"/>
  <c r="A335" i="3"/>
  <c r="B335" i="3" s="1"/>
  <c r="C335" i="3" s="1"/>
  <c r="A334" i="3"/>
  <c r="B334" i="3" s="1"/>
  <c r="C334" i="3" s="1"/>
  <c r="A333" i="3"/>
  <c r="B333" i="3" s="1"/>
  <c r="C333" i="3" s="1"/>
  <c r="A332" i="3"/>
  <c r="B332" i="3" s="1"/>
  <c r="C332" i="3" s="1"/>
  <c r="A331" i="3"/>
  <c r="B331" i="3" s="1"/>
  <c r="C331" i="3" s="1"/>
  <c r="A330" i="3"/>
  <c r="B330" i="3" s="1"/>
  <c r="C330" i="3" s="1"/>
  <c r="A329" i="3"/>
  <c r="B329" i="3" s="1"/>
  <c r="C329" i="3" s="1"/>
  <c r="A328" i="3"/>
  <c r="B328" i="3" s="1"/>
  <c r="C328" i="3" s="1"/>
  <c r="A327" i="3"/>
  <c r="B327" i="3" s="1"/>
  <c r="C327" i="3" s="1"/>
  <c r="A326" i="3"/>
  <c r="B326" i="3" s="1"/>
  <c r="C326" i="3" s="1"/>
  <c r="A325" i="3"/>
  <c r="B325" i="3" s="1"/>
  <c r="C325" i="3" s="1"/>
  <c r="A324" i="3"/>
  <c r="B324" i="3" s="1"/>
  <c r="C324" i="3" s="1"/>
  <c r="A323" i="3"/>
  <c r="B323" i="3" s="1"/>
  <c r="C323" i="3" s="1"/>
  <c r="A322" i="3"/>
  <c r="B322" i="3" s="1"/>
  <c r="C322" i="3" s="1"/>
  <c r="A321" i="3"/>
  <c r="B321" i="3" s="1"/>
  <c r="C321" i="3" s="1"/>
  <c r="A320" i="3"/>
  <c r="B320" i="3" s="1"/>
  <c r="C320" i="3" s="1"/>
  <c r="A319" i="3"/>
  <c r="B319" i="3" s="1"/>
  <c r="C319" i="3" s="1"/>
  <c r="A318" i="3"/>
  <c r="B318" i="3" s="1"/>
  <c r="C318" i="3" s="1"/>
  <c r="A317" i="3"/>
  <c r="B317" i="3" s="1"/>
  <c r="C317" i="3" s="1"/>
  <c r="A316" i="3"/>
  <c r="B316" i="3" s="1"/>
  <c r="C316" i="3" s="1"/>
  <c r="A315" i="3"/>
  <c r="B315" i="3" s="1"/>
  <c r="C315" i="3" s="1"/>
  <c r="A314" i="3"/>
  <c r="B314" i="3" s="1"/>
  <c r="C314" i="3" s="1"/>
  <c r="A313" i="3"/>
  <c r="B313" i="3" s="1"/>
  <c r="C313" i="3" s="1"/>
  <c r="A312" i="3"/>
  <c r="B312" i="3" s="1"/>
  <c r="C312" i="3" s="1"/>
  <c r="A311" i="3"/>
  <c r="B311" i="3" s="1"/>
  <c r="C311" i="3" s="1"/>
  <c r="A310" i="3"/>
  <c r="B310" i="3" s="1"/>
  <c r="C310" i="3" s="1"/>
  <c r="A309" i="3"/>
  <c r="B309" i="3" s="1"/>
  <c r="C309" i="3" s="1"/>
  <c r="A308" i="3"/>
  <c r="B308" i="3" s="1"/>
  <c r="C308" i="3" s="1"/>
  <c r="A307" i="3"/>
  <c r="B307" i="3" s="1"/>
  <c r="C307" i="3" s="1"/>
  <c r="A306" i="3"/>
  <c r="B306" i="3" s="1"/>
  <c r="C306" i="3" s="1"/>
  <c r="A305" i="3"/>
  <c r="B305" i="3" s="1"/>
  <c r="C305" i="3" s="1"/>
  <c r="A304" i="3"/>
  <c r="B304" i="3" s="1"/>
  <c r="C304" i="3" s="1"/>
  <c r="A303" i="3"/>
  <c r="B303" i="3" s="1"/>
  <c r="C303" i="3" s="1"/>
  <c r="A302" i="3"/>
  <c r="B302" i="3" s="1"/>
  <c r="C302" i="3" s="1"/>
  <c r="B301" i="3"/>
  <c r="C301" i="3" s="1"/>
  <c r="A301" i="3"/>
  <c r="A300" i="3"/>
  <c r="B300" i="3" s="1"/>
  <c r="C300" i="3" s="1"/>
  <c r="A299" i="3"/>
  <c r="B299" i="3" s="1"/>
  <c r="C299" i="3" s="1"/>
  <c r="A298" i="3"/>
  <c r="B298" i="3" s="1"/>
  <c r="C298" i="3" s="1"/>
  <c r="A297" i="3"/>
  <c r="B297" i="3" s="1"/>
  <c r="C297" i="3" s="1"/>
  <c r="A296" i="3"/>
  <c r="B296" i="3" s="1"/>
  <c r="C296" i="3" s="1"/>
  <c r="A295" i="3"/>
  <c r="B295" i="3" s="1"/>
  <c r="C295" i="3" s="1"/>
  <c r="B294" i="3"/>
  <c r="C294" i="3" s="1"/>
  <c r="A294" i="3"/>
  <c r="A293" i="3"/>
  <c r="B293" i="3" s="1"/>
  <c r="C293" i="3" s="1"/>
  <c r="A292" i="3"/>
  <c r="B292" i="3" s="1"/>
  <c r="C292" i="3" s="1"/>
  <c r="A291" i="3"/>
  <c r="B291" i="3" s="1"/>
  <c r="C291" i="3" s="1"/>
  <c r="A290" i="3"/>
  <c r="B290" i="3" s="1"/>
  <c r="C290" i="3" s="1"/>
  <c r="A289" i="3"/>
  <c r="B289" i="3" s="1"/>
  <c r="C289" i="3" s="1"/>
  <c r="A288" i="3"/>
  <c r="B288" i="3" s="1"/>
  <c r="C288" i="3" s="1"/>
  <c r="A287" i="3"/>
  <c r="B287" i="3" s="1"/>
  <c r="C287" i="3" s="1"/>
  <c r="A286" i="3"/>
  <c r="B286" i="3" s="1"/>
  <c r="C286" i="3" s="1"/>
  <c r="A285" i="3"/>
  <c r="B285" i="3" s="1"/>
  <c r="C285" i="3" s="1"/>
  <c r="A284" i="3"/>
  <c r="B284" i="3" s="1"/>
  <c r="C284" i="3" s="1"/>
  <c r="A283" i="3"/>
  <c r="B283" i="3" s="1"/>
  <c r="C283" i="3" s="1"/>
  <c r="A282" i="3"/>
  <c r="B282" i="3" s="1"/>
  <c r="C282" i="3" s="1"/>
  <c r="A281" i="3"/>
  <c r="B281" i="3" s="1"/>
  <c r="C281" i="3" s="1"/>
  <c r="A280" i="3"/>
  <c r="B280" i="3" s="1"/>
  <c r="C280" i="3" s="1"/>
  <c r="A279" i="3"/>
  <c r="B279" i="3" s="1"/>
  <c r="C279" i="3" s="1"/>
  <c r="A278" i="3"/>
  <c r="B278" i="3" s="1"/>
  <c r="C278" i="3" s="1"/>
  <c r="A277" i="3"/>
  <c r="B277" i="3" s="1"/>
  <c r="C277" i="3" s="1"/>
  <c r="A276" i="3"/>
  <c r="B276" i="3" s="1"/>
  <c r="C276" i="3" s="1"/>
  <c r="A275" i="3"/>
  <c r="B275" i="3" s="1"/>
  <c r="C275" i="3" s="1"/>
  <c r="A274" i="3"/>
  <c r="B274" i="3" s="1"/>
  <c r="C274" i="3" s="1"/>
  <c r="A273" i="3"/>
  <c r="B273" i="3" s="1"/>
  <c r="C273" i="3" s="1"/>
  <c r="A272" i="3"/>
  <c r="B272" i="3" s="1"/>
  <c r="C272" i="3" s="1"/>
  <c r="A271" i="3"/>
  <c r="B271" i="3" s="1"/>
  <c r="C271" i="3" s="1"/>
  <c r="A270" i="3"/>
  <c r="B270" i="3" s="1"/>
  <c r="C270" i="3" s="1"/>
  <c r="A269" i="3"/>
  <c r="B269" i="3" s="1"/>
  <c r="C269" i="3" s="1"/>
  <c r="A268" i="3"/>
  <c r="B268" i="3" s="1"/>
  <c r="C268" i="3" s="1"/>
  <c r="A267" i="3"/>
  <c r="B267" i="3" s="1"/>
  <c r="C267" i="3" s="1"/>
  <c r="A266" i="3"/>
  <c r="B266" i="3" s="1"/>
  <c r="C266" i="3" s="1"/>
  <c r="A265" i="3"/>
  <c r="B265" i="3" s="1"/>
  <c r="C265" i="3" s="1"/>
  <c r="A264" i="3"/>
  <c r="B264" i="3" s="1"/>
  <c r="C264" i="3" s="1"/>
  <c r="A263" i="3"/>
  <c r="B263" i="3" s="1"/>
  <c r="C263" i="3" s="1"/>
  <c r="A262" i="3"/>
  <c r="B262" i="3" s="1"/>
  <c r="C262" i="3" s="1"/>
  <c r="A261" i="3"/>
  <c r="B261" i="3" s="1"/>
  <c r="C261" i="3" s="1"/>
  <c r="B260" i="3"/>
  <c r="C260" i="3" s="1"/>
  <c r="A260" i="3"/>
  <c r="A259" i="3"/>
  <c r="B259" i="3" s="1"/>
  <c r="C259" i="3" s="1"/>
  <c r="A258" i="3"/>
  <c r="B258" i="3" s="1"/>
  <c r="C258" i="3" s="1"/>
  <c r="A257" i="3"/>
  <c r="B257" i="3" s="1"/>
  <c r="C257" i="3" s="1"/>
  <c r="A256" i="3"/>
  <c r="B256" i="3" s="1"/>
  <c r="C256" i="3" s="1"/>
  <c r="A255" i="3"/>
  <c r="B255" i="3" s="1"/>
  <c r="C255" i="3" s="1"/>
  <c r="A254" i="3"/>
  <c r="B254" i="3" s="1"/>
  <c r="C254" i="3" s="1"/>
  <c r="A253" i="3"/>
  <c r="B253" i="3" s="1"/>
  <c r="C253" i="3" s="1"/>
  <c r="A252" i="3"/>
  <c r="B252" i="3" s="1"/>
  <c r="C252" i="3" s="1"/>
  <c r="A251" i="3"/>
  <c r="B251" i="3" s="1"/>
  <c r="C251" i="3" s="1"/>
  <c r="A250" i="3"/>
  <c r="B250" i="3" s="1"/>
  <c r="C250" i="3" s="1"/>
  <c r="A249" i="3"/>
  <c r="B249" i="3" s="1"/>
  <c r="C249" i="3" s="1"/>
  <c r="A248" i="3"/>
  <c r="B248" i="3" s="1"/>
  <c r="C248" i="3" s="1"/>
  <c r="A247" i="3"/>
  <c r="B247" i="3" s="1"/>
  <c r="C247" i="3" s="1"/>
  <c r="A246" i="3"/>
  <c r="B246" i="3" s="1"/>
  <c r="C246" i="3" s="1"/>
  <c r="A245" i="3"/>
  <c r="B245" i="3" s="1"/>
  <c r="C245" i="3" s="1"/>
  <c r="A244" i="3"/>
  <c r="B244" i="3" s="1"/>
  <c r="C244" i="3" s="1"/>
  <c r="A243" i="3"/>
  <c r="B243" i="3" s="1"/>
  <c r="C243" i="3" s="1"/>
  <c r="A242" i="3"/>
  <c r="B242" i="3" s="1"/>
  <c r="C242" i="3" s="1"/>
  <c r="A241" i="3"/>
  <c r="B241" i="3" s="1"/>
  <c r="C241" i="3" s="1"/>
  <c r="A240" i="3"/>
  <c r="B240" i="3" s="1"/>
  <c r="C240" i="3" s="1"/>
  <c r="A239" i="3"/>
  <c r="B239" i="3" s="1"/>
  <c r="C239" i="3" s="1"/>
  <c r="A238" i="3"/>
  <c r="B238" i="3" s="1"/>
  <c r="C238" i="3" s="1"/>
  <c r="A237" i="3"/>
  <c r="B237" i="3" s="1"/>
  <c r="C237" i="3" s="1"/>
  <c r="A236" i="3"/>
  <c r="B236" i="3" s="1"/>
  <c r="C236" i="3" s="1"/>
  <c r="A235" i="3"/>
  <c r="B235" i="3" s="1"/>
  <c r="C235" i="3" s="1"/>
  <c r="A234" i="3"/>
  <c r="B234" i="3" s="1"/>
  <c r="C234" i="3" s="1"/>
  <c r="A233" i="3"/>
  <c r="B233" i="3" s="1"/>
  <c r="C233" i="3" s="1"/>
  <c r="A232" i="3"/>
  <c r="B232" i="3" s="1"/>
  <c r="C232" i="3" s="1"/>
  <c r="A231" i="3"/>
  <c r="B231" i="3" s="1"/>
  <c r="C231" i="3" s="1"/>
  <c r="A230" i="3"/>
  <c r="B230" i="3" s="1"/>
  <c r="C230" i="3" s="1"/>
  <c r="A229" i="3"/>
  <c r="B229" i="3" s="1"/>
  <c r="C229" i="3" s="1"/>
  <c r="A228" i="3"/>
  <c r="B228" i="3" s="1"/>
  <c r="C228" i="3" s="1"/>
  <c r="A227" i="3"/>
  <c r="B227" i="3" s="1"/>
  <c r="C227" i="3" s="1"/>
  <c r="A226" i="3"/>
  <c r="B226" i="3" s="1"/>
  <c r="C226" i="3" s="1"/>
  <c r="A225" i="3"/>
  <c r="B225" i="3" s="1"/>
  <c r="C225" i="3" s="1"/>
  <c r="A224" i="3"/>
  <c r="B224" i="3" s="1"/>
  <c r="C224" i="3" s="1"/>
  <c r="A223" i="3"/>
  <c r="B223" i="3" s="1"/>
  <c r="C223" i="3" s="1"/>
  <c r="A222" i="3"/>
  <c r="B222" i="3" s="1"/>
  <c r="C222" i="3" s="1"/>
  <c r="A221" i="3"/>
  <c r="B221" i="3" s="1"/>
  <c r="C221" i="3" s="1"/>
  <c r="A220" i="3"/>
  <c r="B220" i="3" s="1"/>
  <c r="C220" i="3" s="1"/>
  <c r="A219" i="3"/>
  <c r="B219" i="3" s="1"/>
  <c r="C219" i="3" s="1"/>
  <c r="A218" i="3"/>
  <c r="B218" i="3" s="1"/>
  <c r="C218" i="3" s="1"/>
  <c r="A217" i="3"/>
  <c r="B217" i="3" s="1"/>
  <c r="C217" i="3" s="1"/>
  <c r="A216" i="3"/>
  <c r="B216" i="3" s="1"/>
  <c r="C216" i="3" s="1"/>
  <c r="A215" i="3"/>
  <c r="B215" i="3" s="1"/>
  <c r="C215" i="3" s="1"/>
  <c r="A214" i="3"/>
  <c r="B214" i="3" s="1"/>
  <c r="C214" i="3" s="1"/>
  <c r="A213" i="3"/>
  <c r="B213" i="3" s="1"/>
  <c r="C213" i="3" s="1"/>
  <c r="A212" i="3"/>
  <c r="B212" i="3" s="1"/>
  <c r="C212" i="3" s="1"/>
  <c r="A211" i="3"/>
  <c r="B211" i="3" s="1"/>
  <c r="C211" i="3" s="1"/>
  <c r="B210" i="3"/>
  <c r="C210" i="3" s="1"/>
  <c r="A210" i="3"/>
  <c r="A209" i="3"/>
  <c r="B209" i="3" s="1"/>
  <c r="C209" i="3" s="1"/>
  <c r="A208" i="3"/>
  <c r="B208" i="3" s="1"/>
  <c r="C208" i="3" s="1"/>
  <c r="A207" i="3"/>
  <c r="B207" i="3" s="1"/>
  <c r="C207" i="3" s="1"/>
  <c r="A206" i="3"/>
  <c r="B206" i="3" s="1"/>
  <c r="C206" i="3" s="1"/>
  <c r="A205" i="3"/>
  <c r="B205" i="3" s="1"/>
  <c r="C205" i="3" s="1"/>
  <c r="A204" i="3"/>
  <c r="B204" i="3" s="1"/>
  <c r="C204" i="3" s="1"/>
  <c r="A203" i="3"/>
  <c r="B203" i="3" s="1"/>
  <c r="C203" i="3" s="1"/>
  <c r="A202" i="3"/>
  <c r="B202" i="3" s="1"/>
  <c r="C202" i="3" s="1"/>
  <c r="A201" i="3"/>
  <c r="B201" i="3" s="1"/>
  <c r="C201" i="3" s="1"/>
  <c r="A200" i="3"/>
  <c r="B200" i="3" s="1"/>
  <c r="C200" i="3" s="1"/>
  <c r="A199" i="3"/>
  <c r="B199" i="3" s="1"/>
  <c r="C199" i="3" s="1"/>
  <c r="A198" i="3"/>
  <c r="B198" i="3" s="1"/>
  <c r="C198" i="3" s="1"/>
  <c r="A197" i="3"/>
  <c r="B197" i="3" s="1"/>
  <c r="C197" i="3" s="1"/>
  <c r="A196" i="3"/>
  <c r="B196" i="3" s="1"/>
  <c r="C196" i="3" s="1"/>
  <c r="A195" i="3"/>
  <c r="B195" i="3" s="1"/>
  <c r="C195" i="3" s="1"/>
  <c r="A194" i="3"/>
  <c r="B194" i="3" s="1"/>
  <c r="C194" i="3" s="1"/>
  <c r="A193" i="3"/>
  <c r="B193" i="3" s="1"/>
  <c r="C193" i="3" s="1"/>
  <c r="A192" i="3"/>
  <c r="B192" i="3" s="1"/>
  <c r="C192" i="3" s="1"/>
  <c r="A191" i="3"/>
  <c r="B191" i="3" s="1"/>
  <c r="C191" i="3" s="1"/>
  <c r="A190" i="3"/>
  <c r="B190" i="3" s="1"/>
  <c r="C190" i="3" s="1"/>
  <c r="A189" i="3"/>
  <c r="B189" i="3" s="1"/>
  <c r="C189" i="3" s="1"/>
  <c r="A188" i="3"/>
  <c r="B188" i="3" s="1"/>
  <c r="C188" i="3" s="1"/>
  <c r="A187" i="3"/>
  <c r="B187" i="3" s="1"/>
  <c r="C187" i="3" s="1"/>
  <c r="A186" i="3"/>
  <c r="B186" i="3" s="1"/>
  <c r="C186" i="3" s="1"/>
  <c r="A185" i="3"/>
  <c r="B185" i="3" s="1"/>
  <c r="C185" i="3" s="1"/>
  <c r="A184" i="3"/>
  <c r="B184" i="3" s="1"/>
  <c r="C184" i="3" s="1"/>
  <c r="A183" i="3"/>
  <c r="B183" i="3" s="1"/>
  <c r="C183" i="3" s="1"/>
  <c r="A182" i="3"/>
  <c r="B182" i="3" s="1"/>
  <c r="C182" i="3" s="1"/>
  <c r="A181" i="3"/>
  <c r="B181" i="3" s="1"/>
  <c r="C181" i="3" s="1"/>
  <c r="A180" i="3"/>
  <c r="B180" i="3" s="1"/>
  <c r="C180" i="3" s="1"/>
  <c r="A179" i="3"/>
  <c r="B179" i="3" s="1"/>
  <c r="C179" i="3" s="1"/>
  <c r="A178" i="3"/>
  <c r="B178" i="3" s="1"/>
  <c r="C178" i="3" s="1"/>
  <c r="A177" i="3"/>
  <c r="B177" i="3" s="1"/>
  <c r="C177" i="3" s="1"/>
  <c r="A176" i="3"/>
  <c r="B176" i="3" s="1"/>
  <c r="C176" i="3" s="1"/>
  <c r="A175" i="3"/>
  <c r="B175" i="3" s="1"/>
  <c r="C175" i="3" s="1"/>
  <c r="A174" i="3"/>
  <c r="B174" i="3" s="1"/>
  <c r="C174" i="3" s="1"/>
  <c r="A173" i="3"/>
  <c r="B173" i="3" s="1"/>
  <c r="C173" i="3" s="1"/>
  <c r="A172" i="3"/>
  <c r="B172" i="3" s="1"/>
  <c r="C172" i="3" s="1"/>
  <c r="A171" i="3"/>
  <c r="B171" i="3" s="1"/>
  <c r="C171" i="3" s="1"/>
  <c r="A170" i="3"/>
  <c r="B170" i="3" s="1"/>
  <c r="C170" i="3" s="1"/>
  <c r="A169" i="3"/>
  <c r="B169" i="3" s="1"/>
  <c r="C169" i="3" s="1"/>
  <c r="A168" i="3"/>
  <c r="B168" i="3" s="1"/>
  <c r="C168" i="3" s="1"/>
  <c r="A167" i="3"/>
  <c r="B167" i="3" s="1"/>
  <c r="C167" i="3" s="1"/>
  <c r="A166" i="3"/>
  <c r="B166" i="3" s="1"/>
  <c r="C166" i="3" s="1"/>
  <c r="A165" i="3"/>
  <c r="B165" i="3" s="1"/>
  <c r="C165" i="3" s="1"/>
  <c r="A164" i="3"/>
  <c r="B164" i="3" s="1"/>
  <c r="C164" i="3" s="1"/>
  <c r="A163" i="3"/>
  <c r="B163" i="3" s="1"/>
  <c r="C163" i="3" s="1"/>
  <c r="A162" i="3"/>
  <c r="B162" i="3" s="1"/>
  <c r="C162" i="3" s="1"/>
  <c r="A161" i="3"/>
  <c r="B161" i="3" s="1"/>
  <c r="C161" i="3" s="1"/>
  <c r="A160" i="3"/>
  <c r="B160" i="3" s="1"/>
  <c r="C160" i="3" s="1"/>
  <c r="A159" i="3"/>
  <c r="B159" i="3" s="1"/>
  <c r="C159" i="3" s="1"/>
  <c r="A158" i="3"/>
  <c r="B158" i="3" s="1"/>
  <c r="C158" i="3" s="1"/>
  <c r="A157" i="3"/>
  <c r="B157" i="3" s="1"/>
  <c r="C157" i="3" s="1"/>
  <c r="A156" i="3"/>
  <c r="B156" i="3" s="1"/>
  <c r="C156" i="3" s="1"/>
  <c r="A155" i="3"/>
  <c r="B155" i="3" s="1"/>
  <c r="C155" i="3" s="1"/>
  <c r="A154" i="3"/>
  <c r="B154" i="3" s="1"/>
  <c r="C154" i="3" s="1"/>
  <c r="A153" i="3"/>
  <c r="B153" i="3" s="1"/>
  <c r="C153" i="3" s="1"/>
  <c r="A152" i="3"/>
  <c r="B152" i="3" s="1"/>
  <c r="C152" i="3" s="1"/>
  <c r="A151" i="3"/>
  <c r="B151" i="3" s="1"/>
  <c r="C151" i="3" s="1"/>
  <c r="A150" i="3"/>
  <c r="B150" i="3" s="1"/>
  <c r="C150" i="3" s="1"/>
  <c r="A149" i="3"/>
  <c r="B149" i="3" s="1"/>
  <c r="C149" i="3" s="1"/>
  <c r="A148" i="3"/>
  <c r="B148" i="3" s="1"/>
  <c r="C148" i="3" s="1"/>
  <c r="A147" i="3"/>
  <c r="B147" i="3" s="1"/>
  <c r="C147" i="3" s="1"/>
  <c r="A146" i="3"/>
  <c r="B146" i="3" s="1"/>
  <c r="C146" i="3" s="1"/>
  <c r="A145" i="3"/>
  <c r="B145" i="3" s="1"/>
  <c r="C145" i="3" s="1"/>
  <c r="A144" i="3"/>
  <c r="B144" i="3" s="1"/>
  <c r="C144" i="3" s="1"/>
  <c r="B143" i="3"/>
  <c r="C143" i="3" s="1"/>
  <c r="A143" i="3"/>
  <c r="A142" i="3"/>
  <c r="B142" i="3" s="1"/>
  <c r="C142" i="3" s="1"/>
  <c r="A141" i="3"/>
  <c r="B141" i="3" s="1"/>
  <c r="C141" i="3" s="1"/>
  <c r="A140" i="3"/>
  <c r="B140" i="3" s="1"/>
  <c r="C140" i="3" s="1"/>
  <c r="A139" i="3"/>
  <c r="B139" i="3" s="1"/>
  <c r="C139" i="3" s="1"/>
  <c r="A138" i="3"/>
  <c r="B138" i="3" s="1"/>
  <c r="C138" i="3" s="1"/>
  <c r="A137" i="3"/>
  <c r="B137" i="3" s="1"/>
  <c r="C137" i="3" s="1"/>
  <c r="A136" i="3"/>
  <c r="B136" i="3" s="1"/>
  <c r="C136" i="3" s="1"/>
  <c r="A135" i="3"/>
  <c r="B135" i="3" s="1"/>
  <c r="C135" i="3" s="1"/>
  <c r="A134" i="3"/>
  <c r="B134" i="3" s="1"/>
  <c r="C134" i="3" s="1"/>
  <c r="A133" i="3"/>
  <c r="B133" i="3" s="1"/>
  <c r="C133" i="3" s="1"/>
  <c r="A132" i="3"/>
  <c r="B132" i="3" s="1"/>
  <c r="C132" i="3" s="1"/>
  <c r="A131" i="3"/>
  <c r="B131" i="3" s="1"/>
  <c r="C131" i="3" s="1"/>
  <c r="A130" i="3"/>
  <c r="B130" i="3" s="1"/>
  <c r="C130" i="3" s="1"/>
  <c r="A129" i="3"/>
  <c r="B129" i="3" s="1"/>
  <c r="C129" i="3" s="1"/>
  <c r="A128" i="3"/>
  <c r="B128" i="3" s="1"/>
  <c r="C128" i="3" s="1"/>
  <c r="A127" i="3"/>
  <c r="B127" i="3" s="1"/>
  <c r="C127" i="3" s="1"/>
  <c r="A126" i="3"/>
  <c r="B126" i="3" s="1"/>
  <c r="C126" i="3" s="1"/>
  <c r="A125" i="3"/>
  <c r="B125" i="3" s="1"/>
  <c r="C125" i="3" s="1"/>
  <c r="A124" i="3"/>
  <c r="B124" i="3" s="1"/>
  <c r="C124" i="3" s="1"/>
  <c r="A123" i="3"/>
  <c r="B123" i="3" s="1"/>
  <c r="C123" i="3" s="1"/>
  <c r="A122" i="3"/>
  <c r="B122" i="3" s="1"/>
  <c r="C122" i="3" s="1"/>
  <c r="A121" i="3"/>
  <c r="B121" i="3" s="1"/>
  <c r="C121" i="3" s="1"/>
  <c r="A120" i="3"/>
  <c r="B120" i="3" s="1"/>
  <c r="C120" i="3" s="1"/>
  <c r="A119" i="3"/>
  <c r="B119" i="3" s="1"/>
  <c r="C119" i="3" s="1"/>
  <c r="A118" i="3"/>
  <c r="B118" i="3" s="1"/>
  <c r="C118" i="3" s="1"/>
  <c r="A117" i="3"/>
  <c r="B117" i="3" s="1"/>
  <c r="C117" i="3" s="1"/>
  <c r="A116" i="3"/>
  <c r="B116" i="3" s="1"/>
  <c r="C116" i="3" s="1"/>
  <c r="A115" i="3"/>
  <c r="B115" i="3" s="1"/>
  <c r="C115" i="3" s="1"/>
  <c r="A114" i="3"/>
  <c r="B114" i="3" s="1"/>
  <c r="C114" i="3" s="1"/>
  <c r="A113" i="3"/>
  <c r="B113" i="3" s="1"/>
  <c r="C113" i="3" s="1"/>
  <c r="A112" i="3"/>
  <c r="B112" i="3" s="1"/>
  <c r="C112" i="3" s="1"/>
  <c r="A111" i="3"/>
  <c r="B111" i="3" s="1"/>
  <c r="C111" i="3" s="1"/>
  <c r="A110" i="3"/>
  <c r="B110" i="3" s="1"/>
  <c r="C110" i="3" s="1"/>
  <c r="A109" i="3"/>
  <c r="B109" i="3" s="1"/>
  <c r="C109" i="3" s="1"/>
  <c r="A108" i="3"/>
  <c r="B108" i="3" s="1"/>
  <c r="C108" i="3" s="1"/>
  <c r="A107" i="3"/>
  <c r="B107" i="3" s="1"/>
  <c r="C107" i="3" s="1"/>
  <c r="A106" i="3"/>
  <c r="B106" i="3" s="1"/>
  <c r="C106" i="3" s="1"/>
  <c r="A105" i="3"/>
  <c r="B105" i="3" s="1"/>
  <c r="C105" i="3" s="1"/>
  <c r="A104" i="3"/>
  <c r="B104" i="3" s="1"/>
  <c r="C104" i="3" s="1"/>
  <c r="A103" i="3"/>
  <c r="B103" i="3" s="1"/>
  <c r="C103" i="3" s="1"/>
  <c r="A102" i="3"/>
  <c r="B102" i="3" s="1"/>
  <c r="C102" i="3" s="1"/>
  <c r="A101" i="3"/>
  <c r="B101" i="3" s="1"/>
  <c r="C101" i="3" s="1"/>
  <c r="A100" i="3"/>
  <c r="B100" i="3" s="1"/>
  <c r="C100" i="3" s="1"/>
  <c r="A99" i="3"/>
  <c r="B99" i="3" s="1"/>
  <c r="C99" i="3" s="1"/>
  <c r="A98" i="3"/>
  <c r="B98" i="3" s="1"/>
  <c r="C98" i="3" s="1"/>
  <c r="A97" i="3"/>
  <c r="B97" i="3" s="1"/>
  <c r="C97" i="3" s="1"/>
  <c r="A96" i="3"/>
  <c r="B96" i="3" s="1"/>
  <c r="C96" i="3" s="1"/>
  <c r="A95" i="3"/>
  <c r="B95" i="3" s="1"/>
  <c r="C95" i="3" s="1"/>
  <c r="A94" i="3"/>
  <c r="B94" i="3" s="1"/>
  <c r="C94" i="3" s="1"/>
  <c r="A93" i="3"/>
  <c r="B93" i="3" s="1"/>
  <c r="C93" i="3" s="1"/>
  <c r="A92" i="3"/>
  <c r="B92" i="3" s="1"/>
  <c r="C92" i="3" s="1"/>
  <c r="A91" i="3"/>
  <c r="B91" i="3" s="1"/>
  <c r="C91" i="3" s="1"/>
  <c r="A90" i="3"/>
  <c r="B90" i="3" s="1"/>
  <c r="C90" i="3" s="1"/>
  <c r="A89" i="3"/>
  <c r="B89" i="3" s="1"/>
  <c r="C89" i="3" s="1"/>
  <c r="A88" i="3"/>
  <c r="B88" i="3" s="1"/>
  <c r="C88" i="3" s="1"/>
  <c r="A87" i="3"/>
  <c r="B87" i="3" s="1"/>
  <c r="C87" i="3" s="1"/>
  <c r="A86" i="3"/>
  <c r="B86" i="3" s="1"/>
  <c r="C86" i="3" s="1"/>
  <c r="A85" i="3"/>
  <c r="B85" i="3" s="1"/>
  <c r="C85" i="3" s="1"/>
  <c r="A84" i="3"/>
  <c r="B84" i="3" s="1"/>
  <c r="C84" i="3" s="1"/>
  <c r="A83" i="3"/>
  <c r="B83" i="3" s="1"/>
  <c r="C83" i="3" s="1"/>
  <c r="A82" i="3"/>
  <c r="B82" i="3" s="1"/>
  <c r="C82" i="3" s="1"/>
  <c r="A81" i="3"/>
  <c r="B81" i="3" s="1"/>
  <c r="C81" i="3" s="1"/>
  <c r="A80" i="3"/>
  <c r="B80" i="3" s="1"/>
  <c r="C80" i="3" s="1"/>
  <c r="A79" i="3"/>
  <c r="B79" i="3" s="1"/>
  <c r="C79" i="3" s="1"/>
  <c r="A78" i="3"/>
  <c r="B78" i="3" s="1"/>
  <c r="C78" i="3" s="1"/>
  <c r="A77" i="3"/>
  <c r="B77" i="3" s="1"/>
  <c r="C77" i="3" s="1"/>
  <c r="B76" i="3"/>
  <c r="C76" i="3" s="1"/>
  <c r="A76" i="3"/>
  <c r="A75" i="3"/>
  <c r="B75" i="3" s="1"/>
  <c r="C75" i="3" s="1"/>
  <c r="A74" i="3"/>
  <c r="B74" i="3" s="1"/>
  <c r="C74" i="3" s="1"/>
  <c r="A73" i="3"/>
  <c r="B73" i="3" s="1"/>
  <c r="C73" i="3" s="1"/>
  <c r="A72" i="3"/>
  <c r="B72" i="3" s="1"/>
  <c r="C72" i="3" s="1"/>
  <c r="A71" i="3"/>
  <c r="B71" i="3" s="1"/>
  <c r="C71" i="3" s="1"/>
  <c r="A70" i="3"/>
  <c r="B70" i="3" s="1"/>
  <c r="C70" i="3" s="1"/>
  <c r="A69" i="3"/>
  <c r="B69" i="3" s="1"/>
  <c r="C69" i="3" s="1"/>
  <c r="A68" i="3"/>
  <c r="B68" i="3" s="1"/>
  <c r="C68" i="3" s="1"/>
  <c r="A67" i="3"/>
  <c r="B67" i="3" s="1"/>
  <c r="C67" i="3" s="1"/>
  <c r="A66" i="3"/>
  <c r="B66" i="3" s="1"/>
  <c r="C66" i="3" s="1"/>
  <c r="A65" i="3"/>
  <c r="B65" i="3" s="1"/>
  <c r="C65" i="3" s="1"/>
  <c r="A64" i="3"/>
  <c r="B64" i="3" s="1"/>
  <c r="C64" i="3" s="1"/>
  <c r="A63" i="3"/>
  <c r="B63" i="3" s="1"/>
  <c r="C63" i="3" s="1"/>
  <c r="A62" i="3"/>
  <c r="B62" i="3" s="1"/>
  <c r="C62" i="3" s="1"/>
  <c r="A61" i="3"/>
  <c r="B61" i="3" s="1"/>
  <c r="C61" i="3" s="1"/>
  <c r="A60" i="3"/>
  <c r="B60" i="3" s="1"/>
  <c r="C60" i="3" s="1"/>
  <c r="A59" i="3"/>
  <c r="B59" i="3" s="1"/>
  <c r="C59" i="3" s="1"/>
  <c r="A58" i="3"/>
  <c r="B58" i="3" s="1"/>
  <c r="C58" i="3" s="1"/>
  <c r="A57" i="3"/>
  <c r="B57" i="3" s="1"/>
  <c r="C57" i="3" s="1"/>
  <c r="A56" i="3"/>
  <c r="B56" i="3" s="1"/>
  <c r="C56" i="3" s="1"/>
  <c r="A55" i="3"/>
  <c r="B55" i="3" s="1"/>
  <c r="C55" i="3" s="1"/>
  <c r="A54" i="3"/>
  <c r="B54" i="3" s="1"/>
  <c r="C54" i="3" s="1"/>
  <c r="A53" i="3"/>
  <c r="B53" i="3" s="1"/>
  <c r="C53" i="3" s="1"/>
  <c r="A52" i="3"/>
  <c r="B52" i="3" s="1"/>
  <c r="C52" i="3" s="1"/>
  <c r="A51" i="3"/>
  <c r="B51" i="3" s="1"/>
  <c r="C51" i="3" s="1"/>
  <c r="A50" i="3"/>
  <c r="B50" i="3" s="1"/>
  <c r="C50" i="3" s="1"/>
  <c r="A49" i="3"/>
  <c r="B49" i="3" s="1"/>
  <c r="C49" i="3" s="1"/>
  <c r="A48" i="3"/>
  <c r="B48" i="3" s="1"/>
  <c r="C48" i="3" s="1"/>
  <c r="A47" i="3"/>
  <c r="B47" i="3" s="1"/>
  <c r="C47" i="3" s="1"/>
  <c r="A46" i="3"/>
  <c r="B46" i="3" s="1"/>
  <c r="C46" i="3" s="1"/>
  <c r="A45" i="3"/>
  <c r="B45" i="3" s="1"/>
  <c r="C45" i="3" s="1"/>
  <c r="A44" i="3"/>
  <c r="B44" i="3" s="1"/>
  <c r="C44" i="3" s="1"/>
  <c r="A43" i="3"/>
  <c r="B43" i="3" s="1"/>
  <c r="C43" i="3" s="1"/>
  <c r="A42" i="3"/>
  <c r="B42" i="3" s="1"/>
  <c r="C42" i="3" s="1"/>
  <c r="A41" i="3"/>
  <c r="B41" i="3" s="1"/>
  <c r="C41" i="3" s="1"/>
  <c r="A40" i="3"/>
  <c r="B40" i="3" s="1"/>
  <c r="C40" i="3" s="1"/>
  <c r="A39" i="3"/>
  <c r="B39" i="3" s="1"/>
  <c r="C39" i="3" s="1"/>
  <c r="A38" i="3"/>
  <c r="B38" i="3" s="1"/>
  <c r="C38" i="3" s="1"/>
  <c r="A37" i="3"/>
  <c r="B37" i="3" s="1"/>
  <c r="C37" i="3" s="1"/>
  <c r="A36" i="3"/>
  <c r="B36" i="3" s="1"/>
  <c r="C36" i="3" s="1"/>
  <c r="A35" i="3"/>
  <c r="B35" i="3" s="1"/>
  <c r="C35" i="3" s="1"/>
  <c r="A34" i="3"/>
  <c r="B34" i="3" s="1"/>
  <c r="C34" i="3" s="1"/>
  <c r="A33" i="3"/>
  <c r="B33" i="3" s="1"/>
  <c r="C33" i="3" s="1"/>
  <c r="A32" i="3"/>
  <c r="B32" i="3" s="1"/>
  <c r="C32" i="3" s="1"/>
  <c r="A31" i="3"/>
  <c r="B31" i="3" s="1"/>
  <c r="C31" i="3" s="1"/>
  <c r="A30" i="3"/>
  <c r="B30" i="3" s="1"/>
  <c r="C30" i="3" s="1"/>
  <c r="A29" i="3"/>
  <c r="B29" i="3" s="1"/>
  <c r="C29" i="3" s="1"/>
  <c r="A28" i="3"/>
  <c r="B28" i="3" s="1"/>
  <c r="C28" i="3" s="1"/>
  <c r="B27" i="3"/>
  <c r="C27" i="3" s="1"/>
  <c r="A27" i="3"/>
  <c r="A26" i="3"/>
  <c r="B26" i="3" s="1"/>
  <c r="C26" i="3" s="1"/>
  <c r="A25" i="3"/>
  <c r="B25" i="3" s="1"/>
  <c r="C25" i="3" s="1"/>
  <c r="A24" i="3"/>
  <c r="B24" i="3" s="1"/>
  <c r="C24" i="3" s="1"/>
  <c r="B23" i="3"/>
  <c r="C23" i="3" s="1"/>
  <c r="A23" i="3"/>
  <c r="A22" i="3"/>
  <c r="B22" i="3" s="1"/>
  <c r="C22" i="3" s="1"/>
  <c r="A21" i="3"/>
  <c r="B21" i="3" s="1"/>
  <c r="C21" i="3" s="1"/>
  <c r="A20" i="3"/>
  <c r="B20" i="3" s="1"/>
  <c r="C20" i="3" s="1"/>
  <c r="A19" i="3"/>
  <c r="B19" i="3" s="1"/>
  <c r="C19" i="3" s="1"/>
  <c r="A18" i="3"/>
  <c r="B18" i="3" s="1"/>
  <c r="C18" i="3" s="1"/>
  <c r="A17" i="3"/>
  <c r="B17" i="3" s="1"/>
  <c r="C17" i="3" s="1"/>
  <c r="A16" i="3"/>
  <c r="B16" i="3" s="1"/>
  <c r="C16" i="3" s="1"/>
  <c r="A15" i="3"/>
  <c r="B15" i="3" s="1"/>
  <c r="C15" i="3" s="1"/>
  <c r="A14" i="3"/>
  <c r="B14" i="3" s="1"/>
  <c r="C14" i="3" s="1"/>
  <c r="A13" i="3"/>
  <c r="B13" i="3" s="1"/>
  <c r="C13" i="3" s="1"/>
  <c r="A12" i="3"/>
  <c r="B12" i="3" s="1"/>
  <c r="C12" i="3" s="1"/>
  <c r="A11" i="3"/>
  <c r="B11" i="3" s="1"/>
  <c r="C11" i="3" s="1"/>
  <c r="A10" i="3"/>
  <c r="B10" i="3" s="1"/>
  <c r="C10" i="3" s="1"/>
  <c r="A9" i="3"/>
  <c r="B9" i="3" s="1"/>
  <c r="C9" i="3" s="1"/>
  <c r="A8" i="3"/>
  <c r="B8" i="3" s="1"/>
  <c r="C8" i="3" s="1"/>
  <c r="A7" i="3"/>
  <c r="B7" i="3" s="1"/>
  <c r="C7" i="3" s="1"/>
  <c r="A6" i="3"/>
  <c r="B6" i="3" s="1"/>
  <c r="C6" i="3" s="1"/>
  <c r="A5" i="3"/>
  <c r="B5" i="3" s="1"/>
  <c r="C5" i="3" s="1"/>
  <c r="D11" i="2"/>
  <c r="D12" i="2" s="1"/>
  <c r="D13" i="2" s="1"/>
  <c r="D14" i="2" s="1"/>
  <c r="D15" i="2" s="1"/>
  <c r="D369" i="3" l="1"/>
  <c r="E369" i="3"/>
  <c r="F369" i="3"/>
  <c r="G369" i="3"/>
  <c r="H369" i="3"/>
  <c r="I369" i="3"/>
  <c r="D368" i="3"/>
  <c r="E368" i="3"/>
  <c r="F368" i="3"/>
  <c r="G368" i="3"/>
  <c r="H368" i="3"/>
  <c r="I368" i="3"/>
  <c r="D367" i="3"/>
  <c r="E367" i="3"/>
  <c r="F367" i="3"/>
  <c r="G367" i="3"/>
  <c r="H367" i="3"/>
  <c r="I367" i="3"/>
  <c r="D366" i="3"/>
  <c r="E366" i="3"/>
  <c r="F366" i="3"/>
  <c r="G366" i="3"/>
  <c r="H366" i="3"/>
  <c r="I366" i="3"/>
  <c r="D365" i="3"/>
  <c r="E365" i="3"/>
  <c r="F365" i="3"/>
  <c r="G365" i="3"/>
  <c r="H365" i="3"/>
  <c r="I365" i="3"/>
  <c r="D364" i="3"/>
  <c r="E364" i="3"/>
  <c r="F364" i="3"/>
  <c r="G364" i="3"/>
  <c r="H364" i="3"/>
  <c r="I364" i="3"/>
  <c r="D363" i="3"/>
  <c r="E363" i="3"/>
  <c r="F363" i="3"/>
  <c r="G363" i="3"/>
  <c r="H363" i="3"/>
  <c r="I363" i="3"/>
  <c r="D362" i="3"/>
  <c r="E362" i="3"/>
  <c r="F362" i="3"/>
  <c r="G362" i="3"/>
  <c r="H362" i="3"/>
  <c r="I362" i="3"/>
  <c r="D361" i="3"/>
  <c r="E361" i="3"/>
  <c r="F361" i="3"/>
  <c r="G361" i="3"/>
  <c r="H361" i="3"/>
  <c r="I361" i="3"/>
  <c r="D360" i="3"/>
  <c r="E360" i="3"/>
  <c r="F360" i="3"/>
  <c r="G360" i="3"/>
  <c r="H360" i="3"/>
  <c r="I360" i="3"/>
  <c r="D359" i="3"/>
  <c r="E359" i="3"/>
  <c r="F359" i="3"/>
  <c r="G359" i="3"/>
  <c r="H359" i="3"/>
  <c r="I359" i="3"/>
  <c r="D358" i="3"/>
  <c r="E358" i="3"/>
  <c r="F358" i="3"/>
  <c r="G358" i="3"/>
  <c r="H358" i="3"/>
  <c r="I358" i="3"/>
  <c r="D357" i="3"/>
  <c r="E357" i="3"/>
  <c r="F357" i="3"/>
  <c r="G357" i="3"/>
  <c r="H357" i="3"/>
  <c r="I357" i="3"/>
  <c r="D356" i="3"/>
  <c r="E356" i="3"/>
  <c r="F356" i="3"/>
  <c r="G356" i="3"/>
  <c r="H356" i="3"/>
  <c r="I356" i="3"/>
  <c r="D355" i="3"/>
  <c r="E355" i="3"/>
  <c r="F355" i="3"/>
  <c r="G355" i="3"/>
  <c r="H355" i="3"/>
  <c r="I355" i="3"/>
  <c r="D354" i="3"/>
  <c r="E354" i="3"/>
  <c r="F354" i="3"/>
  <c r="G354" i="3"/>
  <c r="H354" i="3"/>
  <c r="I354" i="3"/>
  <c r="D353" i="3"/>
  <c r="E353" i="3"/>
  <c r="F353" i="3"/>
  <c r="G353" i="3"/>
  <c r="H353" i="3"/>
  <c r="I353" i="3"/>
  <c r="D352" i="3"/>
  <c r="E352" i="3"/>
  <c r="F352" i="3"/>
  <c r="G352" i="3"/>
  <c r="H352" i="3"/>
  <c r="I352" i="3"/>
  <c r="D351" i="3"/>
  <c r="E351" i="3"/>
  <c r="F351" i="3"/>
  <c r="G351" i="3"/>
  <c r="H351" i="3"/>
  <c r="I351" i="3"/>
  <c r="D350" i="3"/>
  <c r="E350" i="3"/>
  <c r="F350" i="3"/>
  <c r="G350" i="3"/>
  <c r="H350" i="3"/>
  <c r="I350" i="3"/>
  <c r="D349" i="3"/>
  <c r="E349" i="3"/>
  <c r="F349" i="3"/>
  <c r="G349" i="3"/>
  <c r="H349" i="3"/>
  <c r="I349" i="3"/>
  <c r="D348" i="3"/>
  <c r="E348" i="3"/>
  <c r="F348" i="3"/>
  <c r="G348" i="3"/>
  <c r="H348" i="3"/>
  <c r="I348" i="3"/>
  <c r="D347" i="3"/>
  <c r="E347" i="3"/>
  <c r="F347" i="3"/>
  <c r="G347" i="3"/>
  <c r="H347" i="3"/>
  <c r="I347" i="3"/>
  <c r="D346" i="3"/>
  <c r="E346" i="3"/>
  <c r="F346" i="3"/>
  <c r="G346" i="3"/>
  <c r="H346" i="3"/>
  <c r="I346" i="3"/>
  <c r="D345" i="3"/>
  <c r="E345" i="3"/>
  <c r="F345" i="3"/>
  <c r="G345" i="3"/>
  <c r="H345" i="3"/>
  <c r="I345" i="3"/>
  <c r="D344" i="3"/>
  <c r="E344" i="3"/>
  <c r="F344" i="3"/>
  <c r="G344" i="3"/>
  <c r="H344" i="3"/>
  <c r="I344" i="3"/>
  <c r="D343" i="3"/>
  <c r="E343" i="3"/>
  <c r="F343" i="3"/>
  <c r="G343" i="3"/>
  <c r="H343" i="3"/>
  <c r="I343" i="3"/>
  <c r="D342" i="3"/>
  <c r="E342" i="3"/>
  <c r="F342" i="3"/>
  <c r="G342" i="3"/>
  <c r="H342" i="3"/>
  <c r="I342" i="3"/>
  <c r="D341" i="3"/>
  <c r="E341" i="3"/>
  <c r="F341" i="3"/>
  <c r="G341" i="3"/>
  <c r="H341" i="3"/>
  <c r="I341" i="3"/>
  <c r="D340" i="3"/>
  <c r="E340" i="3"/>
  <c r="F340" i="3"/>
  <c r="G340" i="3"/>
  <c r="H340" i="3"/>
  <c r="I340" i="3"/>
  <c r="D339" i="3"/>
  <c r="E339" i="3"/>
  <c r="F339" i="3"/>
  <c r="G339" i="3"/>
  <c r="H339" i="3"/>
  <c r="I339" i="3"/>
  <c r="D338" i="3"/>
  <c r="E338" i="3"/>
  <c r="F338" i="3"/>
  <c r="G338" i="3"/>
  <c r="H338" i="3"/>
  <c r="I338" i="3"/>
  <c r="D337" i="3"/>
  <c r="E337" i="3"/>
  <c r="F337" i="3"/>
  <c r="G337" i="3"/>
  <c r="H337" i="3"/>
  <c r="I337" i="3"/>
  <c r="D336" i="3"/>
  <c r="E336" i="3"/>
  <c r="F336" i="3"/>
  <c r="G336" i="3"/>
  <c r="H336" i="3"/>
  <c r="I336" i="3"/>
  <c r="D335" i="3"/>
  <c r="E335" i="3"/>
  <c r="F335" i="3"/>
  <c r="G335" i="3"/>
  <c r="H335" i="3"/>
  <c r="I335" i="3"/>
  <c r="D334" i="3"/>
  <c r="E334" i="3"/>
  <c r="F334" i="3"/>
  <c r="G334" i="3"/>
  <c r="H334" i="3"/>
  <c r="I334" i="3"/>
  <c r="D333" i="3"/>
  <c r="E333" i="3"/>
  <c r="F333" i="3"/>
  <c r="G333" i="3"/>
  <c r="H333" i="3"/>
  <c r="I333" i="3"/>
  <c r="D332" i="3"/>
  <c r="E332" i="3"/>
  <c r="F332" i="3"/>
  <c r="G332" i="3"/>
  <c r="H332" i="3"/>
  <c r="I332" i="3"/>
  <c r="D331" i="3"/>
  <c r="E331" i="3"/>
  <c r="F331" i="3"/>
  <c r="G331" i="3"/>
  <c r="H331" i="3"/>
  <c r="I331" i="3"/>
  <c r="D330" i="3"/>
  <c r="E330" i="3"/>
  <c r="F330" i="3"/>
  <c r="G330" i="3"/>
  <c r="H330" i="3"/>
  <c r="I330" i="3"/>
  <c r="D329" i="3"/>
  <c r="E329" i="3"/>
  <c r="F329" i="3"/>
  <c r="G329" i="3"/>
  <c r="H329" i="3"/>
  <c r="I329" i="3"/>
  <c r="D328" i="3"/>
  <c r="E328" i="3"/>
  <c r="F328" i="3"/>
  <c r="G328" i="3"/>
  <c r="H328" i="3"/>
  <c r="I328" i="3"/>
  <c r="D327" i="3"/>
  <c r="E327" i="3"/>
  <c r="F327" i="3"/>
  <c r="G327" i="3"/>
  <c r="H327" i="3"/>
  <c r="I327" i="3"/>
  <c r="D326" i="3"/>
  <c r="E326" i="3"/>
  <c r="F326" i="3"/>
  <c r="G326" i="3"/>
  <c r="H326" i="3"/>
  <c r="I326" i="3"/>
  <c r="E325" i="3"/>
  <c r="G325" i="3"/>
  <c r="H325" i="3"/>
  <c r="I325" i="3"/>
  <c r="D325" i="3"/>
  <c r="F325" i="3"/>
  <c r="D324" i="3"/>
  <c r="F324" i="3"/>
  <c r="G324" i="3"/>
  <c r="E324" i="3"/>
  <c r="H324" i="3"/>
  <c r="I324" i="3"/>
  <c r="D323" i="3"/>
  <c r="E323" i="3"/>
  <c r="F323" i="3"/>
  <c r="G323" i="3"/>
  <c r="H323" i="3"/>
  <c r="I323" i="3"/>
  <c r="D322" i="3"/>
  <c r="E322" i="3"/>
  <c r="F322" i="3"/>
  <c r="G322" i="3"/>
  <c r="H322" i="3"/>
  <c r="I322" i="3"/>
  <c r="D321" i="3"/>
  <c r="E321" i="3"/>
  <c r="F321" i="3"/>
  <c r="G321" i="3"/>
  <c r="H321" i="3"/>
  <c r="I321" i="3"/>
  <c r="D320" i="3"/>
  <c r="E320" i="3"/>
  <c r="F320" i="3"/>
  <c r="G320" i="3"/>
  <c r="H320" i="3"/>
  <c r="I320" i="3"/>
  <c r="D319" i="3"/>
  <c r="E319" i="3"/>
  <c r="F319" i="3"/>
  <c r="G319" i="3"/>
  <c r="H319" i="3"/>
  <c r="I319" i="3"/>
  <c r="D318" i="3"/>
  <c r="E318" i="3"/>
  <c r="F318" i="3"/>
  <c r="G318" i="3"/>
  <c r="H318" i="3"/>
  <c r="I318" i="3"/>
  <c r="D317" i="3"/>
  <c r="E317" i="3"/>
  <c r="F317" i="3"/>
  <c r="G317" i="3"/>
  <c r="H317" i="3"/>
  <c r="I317" i="3"/>
  <c r="D316" i="3"/>
  <c r="E316" i="3"/>
  <c r="F316" i="3"/>
  <c r="G316" i="3"/>
  <c r="H316" i="3"/>
  <c r="I316" i="3"/>
  <c r="D315" i="3"/>
  <c r="E315" i="3"/>
  <c r="F315" i="3"/>
  <c r="G315" i="3"/>
  <c r="H315" i="3"/>
  <c r="I315" i="3"/>
  <c r="D314" i="3"/>
  <c r="E314" i="3"/>
  <c r="F314" i="3"/>
  <c r="G314" i="3"/>
  <c r="H314" i="3"/>
  <c r="I314" i="3"/>
  <c r="D313" i="3"/>
  <c r="E313" i="3"/>
  <c r="F313" i="3"/>
  <c r="G313" i="3"/>
  <c r="H313" i="3"/>
  <c r="I313" i="3"/>
  <c r="D312" i="3"/>
  <c r="E312" i="3"/>
  <c r="F312" i="3"/>
  <c r="G312" i="3"/>
  <c r="H312" i="3"/>
  <c r="I312" i="3"/>
  <c r="D311" i="3"/>
  <c r="E311" i="3"/>
  <c r="F311" i="3"/>
  <c r="G311" i="3"/>
  <c r="H311" i="3"/>
  <c r="I311" i="3"/>
  <c r="D310" i="3"/>
  <c r="E310" i="3"/>
  <c r="F310" i="3"/>
  <c r="G310" i="3"/>
  <c r="H310" i="3"/>
  <c r="I310" i="3"/>
  <c r="D309" i="3"/>
  <c r="E309" i="3"/>
  <c r="F309" i="3"/>
  <c r="G309" i="3"/>
  <c r="H309" i="3"/>
  <c r="I309" i="3"/>
  <c r="D308" i="3"/>
  <c r="E308" i="3"/>
  <c r="F308" i="3"/>
  <c r="G308" i="3"/>
  <c r="H308" i="3"/>
  <c r="I308" i="3"/>
  <c r="D307" i="3"/>
  <c r="E307" i="3"/>
  <c r="F307" i="3"/>
  <c r="G307" i="3"/>
  <c r="H307" i="3"/>
  <c r="I307" i="3"/>
  <c r="D306" i="3"/>
  <c r="E306" i="3"/>
  <c r="F306" i="3"/>
  <c r="G306" i="3"/>
  <c r="H306" i="3"/>
  <c r="I306" i="3"/>
  <c r="D305" i="3"/>
  <c r="E305" i="3"/>
  <c r="F305" i="3"/>
  <c r="G305" i="3"/>
  <c r="H305" i="3"/>
  <c r="I305" i="3"/>
  <c r="D304" i="3"/>
  <c r="E304" i="3"/>
  <c r="F304" i="3"/>
  <c r="G304" i="3"/>
  <c r="H304" i="3"/>
  <c r="I304" i="3"/>
  <c r="D303" i="3"/>
  <c r="E303" i="3"/>
  <c r="F303" i="3"/>
  <c r="G303" i="3"/>
  <c r="H303" i="3"/>
  <c r="I303" i="3"/>
  <c r="D302" i="3"/>
  <c r="F302" i="3"/>
  <c r="H302" i="3"/>
  <c r="E302" i="3"/>
  <c r="G302" i="3"/>
  <c r="I302" i="3"/>
  <c r="D301" i="3"/>
  <c r="E301" i="3"/>
  <c r="G301" i="3"/>
  <c r="F301" i="3"/>
  <c r="H301" i="3"/>
  <c r="I301" i="3"/>
  <c r="E300" i="3"/>
  <c r="G300" i="3"/>
  <c r="H300" i="3"/>
  <c r="D300" i="3"/>
  <c r="F300" i="3"/>
  <c r="I300" i="3"/>
  <c r="E299" i="3"/>
  <c r="G299" i="3"/>
  <c r="I299" i="3"/>
  <c r="D299" i="3"/>
  <c r="F299" i="3"/>
  <c r="H299" i="3"/>
  <c r="F298" i="3"/>
  <c r="D298" i="3"/>
  <c r="G298" i="3"/>
  <c r="H298" i="3"/>
  <c r="I298" i="3"/>
  <c r="E298" i="3"/>
  <c r="F297" i="3"/>
  <c r="E297" i="3"/>
  <c r="G297" i="3"/>
  <c r="H297" i="3"/>
  <c r="I297" i="3"/>
  <c r="D297" i="3"/>
  <c r="F296" i="3"/>
  <c r="H296" i="3"/>
  <c r="D296" i="3"/>
  <c r="E296" i="3"/>
  <c r="G296" i="3"/>
  <c r="I296" i="3"/>
  <c r="E295" i="3"/>
  <c r="D295" i="3"/>
  <c r="F295" i="3"/>
  <c r="H295" i="3"/>
  <c r="G295" i="3"/>
  <c r="I295" i="3"/>
  <c r="F294" i="3"/>
  <c r="I294" i="3"/>
  <c r="E294" i="3"/>
  <c r="H294" i="3"/>
  <c r="D294" i="3"/>
  <c r="G294" i="3"/>
  <c r="F293" i="3"/>
  <c r="G293" i="3"/>
  <c r="I293" i="3"/>
  <c r="D293" i="3"/>
  <c r="E293" i="3"/>
  <c r="H293" i="3"/>
  <c r="E292" i="3"/>
  <c r="G292" i="3"/>
  <c r="D292" i="3"/>
  <c r="F292" i="3"/>
  <c r="H292" i="3"/>
  <c r="I292" i="3"/>
  <c r="E291" i="3"/>
  <c r="G291" i="3"/>
  <c r="D291" i="3"/>
  <c r="F291" i="3"/>
  <c r="H291" i="3"/>
  <c r="I291" i="3"/>
  <c r="E290" i="3"/>
  <c r="G290" i="3"/>
  <c r="I290" i="3"/>
  <c r="D290" i="3"/>
  <c r="F290" i="3"/>
  <c r="H290" i="3"/>
  <c r="E289" i="3"/>
  <c r="H289" i="3"/>
  <c r="D289" i="3"/>
  <c r="F289" i="3"/>
  <c r="G289" i="3"/>
  <c r="I289" i="3"/>
  <c r="E288" i="3"/>
  <c r="G288" i="3"/>
  <c r="I288" i="3"/>
  <c r="D288" i="3"/>
  <c r="F288" i="3"/>
  <c r="H288" i="3"/>
  <c r="E287" i="3"/>
  <c r="F287" i="3"/>
  <c r="H287" i="3"/>
  <c r="I287" i="3"/>
  <c r="D287" i="3"/>
  <c r="G287" i="3"/>
  <c r="E286" i="3"/>
  <c r="H286" i="3"/>
  <c r="I286" i="3"/>
  <c r="D286" i="3"/>
  <c r="F286" i="3"/>
  <c r="G286" i="3"/>
  <c r="E285" i="3"/>
  <c r="D285" i="3"/>
  <c r="F285" i="3"/>
  <c r="G285" i="3"/>
  <c r="H285" i="3"/>
  <c r="I285" i="3"/>
  <c r="E284" i="3"/>
  <c r="G284" i="3"/>
  <c r="D284" i="3"/>
  <c r="F284" i="3"/>
  <c r="H284" i="3"/>
  <c r="I284" i="3"/>
  <c r="E283" i="3"/>
  <c r="G283" i="3"/>
  <c r="D283" i="3"/>
  <c r="F283" i="3"/>
  <c r="H283" i="3"/>
  <c r="I283" i="3"/>
  <c r="E282" i="3"/>
  <c r="G282" i="3"/>
  <c r="D282" i="3"/>
  <c r="F282" i="3"/>
  <c r="H282" i="3"/>
  <c r="I282" i="3"/>
  <c r="E281" i="3"/>
  <c r="G281" i="3"/>
  <c r="I281" i="3"/>
  <c r="D281" i="3"/>
  <c r="F281" i="3"/>
  <c r="H281" i="3"/>
  <c r="E280" i="3"/>
  <c r="G280" i="3"/>
  <c r="D280" i="3"/>
  <c r="F280" i="3"/>
  <c r="H280" i="3"/>
  <c r="I280" i="3"/>
  <c r="E279" i="3"/>
  <c r="G279" i="3"/>
  <c r="D279" i="3"/>
  <c r="F279" i="3"/>
  <c r="H279" i="3"/>
  <c r="I279" i="3"/>
  <c r="D278" i="3"/>
  <c r="E278" i="3"/>
  <c r="F278" i="3"/>
  <c r="H278" i="3"/>
  <c r="I278" i="3"/>
  <c r="G278" i="3"/>
  <c r="E277" i="3"/>
  <c r="G277" i="3"/>
  <c r="D277" i="3"/>
  <c r="F277" i="3"/>
  <c r="H277" i="3"/>
  <c r="I277" i="3"/>
  <c r="E276" i="3"/>
  <c r="G276" i="3"/>
  <c r="D276" i="3"/>
  <c r="F276" i="3"/>
  <c r="H276" i="3"/>
  <c r="I276" i="3"/>
  <c r="E275" i="3"/>
  <c r="G275" i="3"/>
  <c r="D275" i="3"/>
  <c r="F275" i="3"/>
  <c r="H275" i="3"/>
  <c r="I275" i="3"/>
  <c r="E274" i="3"/>
  <c r="G274" i="3"/>
  <c r="D274" i="3"/>
  <c r="F274" i="3"/>
  <c r="H274" i="3"/>
  <c r="I274" i="3"/>
  <c r="E273" i="3"/>
  <c r="G273" i="3"/>
  <c r="D273" i="3"/>
  <c r="F273" i="3"/>
  <c r="H273" i="3"/>
  <c r="I273" i="3"/>
  <c r="E272" i="3"/>
  <c r="G272" i="3"/>
  <c r="D272" i="3"/>
  <c r="F272" i="3"/>
  <c r="H272" i="3"/>
  <c r="I272" i="3"/>
  <c r="F271" i="3"/>
  <c r="H271" i="3"/>
  <c r="I271" i="3"/>
  <c r="D271" i="3"/>
  <c r="G271" i="3"/>
  <c r="E271" i="3"/>
  <c r="D270" i="3"/>
  <c r="G270" i="3"/>
  <c r="F270" i="3"/>
  <c r="I270" i="3"/>
  <c r="E270" i="3"/>
  <c r="H270" i="3"/>
  <c r="F269" i="3"/>
  <c r="E269" i="3"/>
  <c r="H269" i="3"/>
  <c r="D269" i="3"/>
  <c r="G269" i="3"/>
  <c r="I269" i="3"/>
  <c r="F268" i="3"/>
  <c r="D268" i="3"/>
  <c r="G268" i="3"/>
  <c r="I268" i="3"/>
  <c r="E268" i="3"/>
  <c r="H268" i="3"/>
  <c r="I267" i="3"/>
  <c r="F267" i="3"/>
  <c r="H267" i="3"/>
  <c r="D267" i="3"/>
  <c r="E267" i="3"/>
  <c r="G267" i="3"/>
  <c r="G266" i="3"/>
  <c r="E266" i="3"/>
  <c r="H266" i="3"/>
  <c r="D266" i="3"/>
  <c r="F266" i="3"/>
  <c r="I266" i="3"/>
  <c r="E265" i="3"/>
  <c r="H265" i="3"/>
  <c r="F265" i="3"/>
  <c r="I265" i="3"/>
  <c r="G265" i="3"/>
  <c r="D265" i="3"/>
  <c r="I264" i="3"/>
  <c r="D264" i="3"/>
  <c r="G264" i="3"/>
  <c r="F264" i="3"/>
  <c r="E264" i="3"/>
  <c r="H264" i="3"/>
  <c r="F263" i="3"/>
  <c r="E263" i="3"/>
  <c r="I263" i="3"/>
  <c r="G263" i="3"/>
  <c r="D263" i="3"/>
  <c r="H263" i="3"/>
  <c r="H262" i="3"/>
  <c r="E262" i="3"/>
  <c r="I262" i="3"/>
  <c r="G262" i="3"/>
  <c r="F262" i="3"/>
  <c r="D262" i="3"/>
  <c r="E261" i="3"/>
  <c r="I261" i="3"/>
  <c r="D261" i="3"/>
  <c r="H261" i="3"/>
  <c r="G261" i="3"/>
  <c r="F261" i="3"/>
  <c r="G260" i="3"/>
  <c r="E260" i="3"/>
  <c r="H260" i="3"/>
  <c r="D260" i="3"/>
  <c r="I260" i="3"/>
  <c r="F260" i="3"/>
  <c r="H259" i="3"/>
  <c r="E259" i="3"/>
  <c r="I259" i="3"/>
  <c r="F259" i="3"/>
  <c r="D259" i="3"/>
  <c r="G259" i="3"/>
  <c r="E258" i="3"/>
  <c r="H258" i="3"/>
  <c r="G258" i="3"/>
  <c r="F258" i="3"/>
  <c r="D258" i="3"/>
  <c r="I258" i="3"/>
  <c r="F257" i="3"/>
  <c r="I257" i="3"/>
  <c r="D257" i="3"/>
  <c r="H257" i="3"/>
  <c r="E257" i="3"/>
  <c r="G257" i="3"/>
  <c r="I256" i="3"/>
  <c r="D256" i="3"/>
  <c r="G256" i="3"/>
  <c r="H256" i="3"/>
  <c r="F256" i="3"/>
  <c r="E256" i="3"/>
  <c r="D255" i="3"/>
  <c r="E255" i="3"/>
  <c r="F255" i="3"/>
  <c r="G255" i="3"/>
  <c r="I255" i="3"/>
  <c r="H255" i="3"/>
  <c r="D254" i="3"/>
  <c r="E254" i="3"/>
  <c r="F254" i="3"/>
  <c r="G254" i="3"/>
  <c r="H254" i="3"/>
  <c r="I254" i="3"/>
  <c r="D253" i="3"/>
  <c r="E253" i="3"/>
  <c r="F253" i="3"/>
  <c r="G253" i="3"/>
  <c r="H253" i="3"/>
  <c r="I253" i="3"/>
  <c r="D252" i="3"/>
  <c r="E252" i="3"/>
  <c r="F252" i="3"/>
  <c r="G252" i="3"/>
  <c r="H252" i="3"/>
  <c r="I252" i="3"/>
  <c r="D251" i="3"/>
  <c r="E251" i="3"/>
  <c r="F251" i="3"/>
  <c r="G251" i="3"/>
  <c r="H251" i="3"/>
  <c r="I251" i="3"/>
  <c r="D250" i="3"/>
  <c r="E250" i="3"/>
  <c r="F250" i="3"/>
  <c r="G250" i="3"/>
  <c r="H250" i="3"/>
  <c r="I250" i="3"/>
  <c r="D249" i="3"/>
  <c r="E249" i="3"/>
  <c r="F249" i="3"/>
  <c r="G249" i="3"/>
  <c r="H249" i="3"/>
  <c r="I249" i="3"/>
  <c r="D248" i="3"/>
  <c r="E248" i="3"/>
  <c r="F248" i="3"/>
  <c r="G248" i="3"/>
  <c r="H248" i="3"/>
  <c r="I248" i="3"/>
  <c r="D247" i="3"/>
  <c r="E247" i="3"/>
  <c r="F247" i="3"/>
  <c r="G247" i="3"/>
  <c r="H247" i="3"/>
  <c r="I247" i="3"/>
  <c r="D246" i="3"/>
  <c r="E246" i="3"/>
  <c r="F246" i="3"/>
  <c r="G246" i="3"/>
  <c r="H246" i="3"/>
  <c r="I246" i="3"/>
  <c r="D245" i="3"/>
  <c r="E245" i="3"/>
  <c r="F245" i="3"/>
  <c r="G245" i="3"/>
  <c r="H245" i="3"/>
  <c r="I245" i="3"/>
  <c r="D244" i="3"/>
  <c r="E244" i="3"/>
  <c r="F244" i="3"/>
  <c r="G244" i="3"/>
  <c r="H244" i="3"/>
  <c r="I244" i="3"/>
  <c r="D243" i="3"/>
  <c r="E243" i="3"/>
  <c r="F243" i="3"/>
  <c r="G243" i="3"/>
  <c r="H243" i="3"/>
  <c r="I243" i="3"/>
  <c r="D242" i="3"/>
  <c r="E242" i="3"/>
  <c r="F242" i="3"/>
  <c r="G242" i="3"/>
  <c r="H242" i="3"/>
  <c r="I242" i="3"/>
  <c r="D241" i="3"/>
  <c r="E241" i="3"/>
  <c r="F241" i="3"/>
  <c r="G241" i="3"/>
  <c r="H241" i="3"/>
  <c r="I241" i="3"/>
  <c r="D240" i="3"/>
  <c r="E240" i="3"/>
  <c r="F240" i="3"/>
  <c r="G240" i="3"/>
  <c r="H240" i="3"/>
  <c r="I240" i="3"/>
  <c r="D239" i="3"/>
  <c r="E239" i="3"/>
  <c r="F239" i="3"/>
  <c r="G239" i="3"/>
  <c r="H239" i="3"/>
  <c r="I239" i="3"/>
  <c r="D238" i="3"/>
  <c r="E238" i="3"/>
  <c r="F238" i="3"/>
  <c r="G238" i="3"/>
  <c r="H238" i="3"/>
  <c r="I238" i="3"/>
  <c r="D237" i="3"/>
  <c r="E237" i="3"/>
  <c r="F237" i="3"/>
  <c r="G237" i="3"/>
  <c r="H237" i="3"/>
  <c r="I237" i="3"/>
  <c r="D236" i="3"/>
  <c r="E236" i="3"/>
  <c r="F236" i="3"/>
  <c r="G236" i="3"/>
  <c r="H236" i="3"/>
  <c r="I236" i="3"/>
  <c r="D235" i="3"/>
  <c r="E235" i="3"/>
  <c r="F235" i="3"/>
  <c r="G235" i="3"/>
  <c r="H235" i="3"/>
  <c r="I235" i="3"/>
  <c r="D234" i="3"/>
  <c r="E234" i="3"/>
  <c r="F234" i="3"/>
  <c r="G234" i="3"/>
  <c r="H234" i="3"/>
  <c r="I234" i="3"/>
  <c r="D233" i="3"/>
  <c r="E233" i="3"/>
  <c r="F233" i="3"/>
  <c r="G233" i="3"/>
  <c r="H233" i="3"/>
  <c r="I233" i="3"/>
  <c r="D232" i="3"/>
  <c r="E232" i="3"/>
  <c r="F232" i="3"/>
  <c r="G232" i="3"/>
  <c r="H232" i="3"/>
  <c r="I232" i="3"/>
  <c r="D231" i="3"/>
  <c r="E231" i="3"/>
  <c r="F231" i="3"/>
  <c r="G231" i="3"/>
  <c r="H231" i="3"/>
  <c r="I231" i="3"/>
  <c r="D230" i="3"/>
  <c r="E230" i="3"/>
  <c r="F230" i="3"/>
  <c r="G230" i="3"/>
  <c r="H230" i="3"/>
  <c r="I230" i="3"/>
  <c r="D229" i="3"/>
  <c r="E229" i="3"/>
  <c r="F229" i="3"/>
  <c r="G229" i="3"/>
  <c r="H229" i="3"/>
  <c r="I229" i="3"/>
  <c r="D228" i="3"/>
  <c r="E228" i="3"/>
  <c r="F228" i="3"/>
  <c r="G228" i="3"/>
  <c r="H228" i="3"/>
  <c r="I228" i="3"/>
  <c r="D227" i="3"/>
  <c r="E227" i="3"/>
  <c r="F227" i="3"/>
  <c r="G227" i="3"/>
  <c r="H227" i="3"/>
  <c r="I227" i="3"/>
  <c r="D226" i="3"/>
  <c r="E226" i="3"/>
  <c r="F226" i="3"/>
  <c r="G226" i="3"/>
  <c r="H226" i="3"/>
  <c r="I226" i="3"/>
  <c r="D225" i="3"/>
  <c r="E225" i="3"/>
  <c r="F225" i="3"/>
  <c r="G225" i="3"/>
  <c r="H225" i="3"/>
  <c r="I225" i="3"/>
  <c r="D224" i="3"/>
  <c r="E224" i="3"/>
  <c r="F224" i="3"/>
  <c r="G224" i="3"/>
  <c r="H224" i="3"/>
  <c r="I224" i="3"/>
  <c r="D223" i="3"/>
  <c r="E223" i="3"/>
  <c r="F223" i="3"/>
  <c r="G223" i="3"/>
  <c r="H223" i="3"/>
  <c r="I223" i="3"/>
  <c r="D222" i="3"/>
  <c r="E222" i="3"/>
  <c r="F222" i="3"/>
  <c r="G222" i="3"/>
  <c r="H222" i="3"/>
  <c r="I222" i="3"/>
  <c r="D221" i="3"/>
  <c r="E221" i="3"/>
  <c r="F221" i="3"/>
  <c r="G221" i="3"/>
  <c r="H221" i="3"/>
  <c r="I221" i="3"/>
  <c r="D220" i="3"/>
  <c r="E220" i="3"/>
  <c r="F220" i="3"/>
  <c r="G220" i="3"/>
  <c r="H220" i="3"/>
  <c r="I220" i="3"/>
  <c r="D219" i="3"/>
  <c r="E219" i="3"/>
  <c r="F219" i="3"/>
  <c r="G219" i="3"/>
  <c r="H219" i="3"/>
  <c r="I219" i="3"/>
  <c r="F218" i="3"/>
  <c r="I218" i="3"/>
  <c r="D218" i="3"/>
  <c r="E218" i="3"/>
  <c r="G218" i="3"/>
  <c r="H218" i="3"/>
  <c r="F217" i="3"/>
  <c r="H217" i="3"/>
  <c r="D217" i="3"/>
  <c r="E217" i="3"/>
  <c r="G217" i="3"/>
  <c r="I217" i="3"/>
  <c r="D216" i="3"/>
  <c r="F216" i="3"/>
  <c r="H216" i="3"/>
  <c r="E216" i="3"/>
  <c r="G216" i="3"/>
  <c r="I216" i="3"/>
  <c r="D215" i="3"/>
  <c r="F215" i="3"/>
  <c r="H215" i="3"/>
  <c r="I215" i="3"/>
  <c r="E215" i="3"/>
  <c r="G215" i="3"/>
  <c r="E214" i="3"/>
  <c r="G214" i="3"/>
  <c r="H214" i="3"/>
  <c r="I214" i="3"/>
  <c r="D214" i="3"/>
  <c r="F214" i="3"/>
  <c r="E213" i="3"/>
  <c r="G213" i="3"/>
  <c r="D213" i="3"/>
  <c r="F213" i="3"/>
  <c r="H213" i="3"/>
  <c r="I213" i="3"/>
  <c r="E212" i="3"/>
  <c r="H212" i="3"/>
  <c r="D212" i="3"/>
  <c r="F212" i="3"/>
  <c r="G212" i="3"/>
  <c r="I212" i="3"/>
  <c r="E211" i="3"/>
  <c r="G211" i="3"/>
  <c r="I211" i="3"/>
  <c r="D211" i="3"/>
  <c r="F211" i="3"/>
  <c r="H211" i="3"/>
  <c r="E210" i="3"/>
  <c r="G210" i="3"/>
  <c r="I210" i="3"/>
  <c r="D210" i="3"/>
  <c r="F210" i="3"/>
  <c r="H210" i="3"/>
  <c r="D209" i="3"/>
  <c r="E209" i="3"/>
  <c r="F209" i="3"/>
  <c r="G209" i="3"/>
  <c r="H209" i="3"/>
  <c r="I209" i="3"/>
  <c r="D208" i="3"/>
  <c r="E208" i="3"/>
  <c r="F208" i="3"/>
  <c r="G208" i="3"/>
  <c r="H208" i="3"/>
  <c r="I208" i="3"/>
  <c r="D207" i="3"/>
  <c r="E207" i="3"/>
  <c r="F207" i="3"/>
  <c r="G207" i="3"/>
  <c r="H207" i="3"/>
  <c r="I207" i="3"/>
  <c r="D206" i="3"/>
  <c r="E206" i="3"/>
  <c r="F206" i="3"/>
  <c r="G206" i="3"/>
  <c r="H206" i="3"/>
  <c r="I206" i="3"/>
  <c r="D205" i="3"/>
  <c r="E205" i="3"/>
  <c r="F205" i="3"/>
  <c r="G205" i="3"/>
  <c r="H205" i="3"/>
  <c r="I205" i="3"/>
  <c r="D204" i="3"/>
  <c r="E204" i="3"/>
  <c r="F204" i="3"/>
  <c r="G204" i="3"/>
  <c r="H204" i="3"/>
  <c r="I204" i="3"/>
  <c r="D203" i="3"/>
  <c r="E203" i="3"/>
  <c r="F203" i="3"/>
  <c r="G203" i="3"/>
  <c r="H203" i="3"/>
  <c r="I203" i="3"/>
  <c r="D202" i="3"/>
  <c r="E202" i="3"/>
  <c r="F202" i="3"/>
  <c r="G202" i="3"/>
  <c r="H202" i="3"/>
  <c r="I202" i="3"/>
  <c r="D201" i="3"/>
  <c r="E201" i="3"/>
  <c r="F201" i="3"/>
  <c r="G201" i="3"/>
  <c r="H201" i="3"/>
  <c r="I201" i="3"/>
  <c r="D200" i="3"/>
  <c r="E200" i="3"/>
  <c r="F200" i="3"/>
  <c r="G200" i="3"/>
  <c r="H200" i="3"/>
  <c r="I200" i="3"/>
  <c r="D199" i="3"/>
  <c r="E199" i="3"/>
  <c r="F199" i="3"/>
  <c r="G199" i="3"/>
  <c r="H199" i="3"/>
  <c r="I199" i="3"/>
  <c r="D198" i="3"/>
  <c r="E198" i="3"/>
  <c r="F198" i="3"/>
  <c r="G198" i="3"/>
  <c r="H198" i="3"/>
  <c r="I198" i="3"/>
  <c r="D197" i="3"/>
  <c r="E197" i="3"/>
  <c r="F197" i="3"/>
  <c r="G197" i="3"/>
  <c r="H197" i="3"/>
  <c r="I197" i="3"/>
  <c r="D196" i="3"/>
  <c r="E196" i="3"/>
  <c r="F196" i="3"/>
  <c r="G196" i="3"/>
  <c r="H196" i="3"/>
  <c r="I196" i="3"/>
  <c r="D195" i="3"/>
  <c r="E195" i="3"/>
  <c r="F195" i="3"/>
  <c r="G195" i="3"/>
  <c r="H195" i="3"/>
  <c r="I195" i="3"/>
  <c r="D194" i="3"/>
  <c r="E194" i="3"/>
  <c r="F194" i="3"/>
  <c r="G194" i="3"/>
  <c r="H194" i="3"/>
  <c r="I194" i="3"/>
  <c r="D193" i="3"/>
  <c r="E193" i="3"/>
  <c r="F193" i="3"/>
  <c r="G193" i="3"/>
  <c r="H193" i="3"/>
  <c r="I193" i="3"/>
  <c r="D192" i="3"/>
  <c r="E192" i="3"/>
  <c r="F192" i="3"/>
  <c r="G192" i="3"/>
  <c r="H192" i="3"/>
  <c r="I192" i="3"/>
  <c r="D191" i="3"/>
  <c r="E191" i="3"/>
  <c r="F191" i="3"/>
  <c r="G191" i="3"/>
  <c r="H191" i="3"/>
  <c r="I191" i="3"/>
  <c r="D190" i="3"/>
  <c r="E190" i="3"/>
  <c r="F190" i="3"/>
  <c r="G190" i="3"/>
  <c r="H190" i="3"/>
  <c r="I190" i="3"/>
  <c r="D189" i="3"/>
  <c r="E189" i="3"/>
  <c r="F189" i="3"/>
  <c r="G189" i="3"/>
  <c r="H189" i="3"/>
  <c r="I189" i="3"/>
  <c r="D188" i="3"/>
  <c r="E188" i="3"/>
  <c r="F188" i="3"/>
  <c r="G188" i="3"/>
  <c r="H188" i="3"/>
  <c r="I188" i="3"/>
  <c r="D187" i="3"/>
  <c r="E187" i="3"/>
  <c r="F187" i="3"/>
  <c r="G187" i="3"/>
  <c r="H187" i="3"/>
  <c r="I187" i="3"/>
  <c r="D186" i="3"/>
  <c r="E186" i="3"/>
  <c r="F186" i="3"/>
  <c r="G186" i="3"/>
  <c r="H186" i="3"/>
  <c r="I186" i="3"/>
  <c r="D185" i="3"/>
  <c r="E185" i="3"/>
  <c r="F185" i="3"/>
  <c r="G185" i="3"/>
  <c r="H185" i="3"/>
  <c r="I185" i="3"/>
  <c r="D184" i="3"/>
  <c r="E184" i="3"/>
  <c r="F184" i="3"/>
  <c r="G184" i="3"/>
  <c r="H184" i="3"/>
  <c r="I184" i="3"/>
  <c r="D183" i="3"/>
  <c r="E183" i="3"/>
  <c r="F183" i="3"/>
  <c r="G183" i="3"/>
  <c r="H183" i="3"/>
  <c r="I183" i="3"/>
  <c r="D182" i="3"/>
  <c r="E182" i="3"/>
  <c r="F182" i="3"/>
  <c r="G182" i="3"/>
  <c r="H182" i="3"/>
  <c r="I182" i="3"/>
  <c r="D181" i="3"/>
  <c r="E181" i="3"/>
  <c r="F181" i="3"/>
  <c r="G181" i="3"/>
  <c r="H181" i="3"/>
  <c r="I181" i="3"/>
  <c r="D180" i="3"/>
  <c r="E180" i="3"/>
  <c r="F180" i="3"/>
  <c r="G180" i="3"/>
  <c r="H180" i="3"/>
  <c r="I180" i="3"/>
  <c r="D179" i="3"/>
  <c r="E179" i="3"/>
  <c r="F179" i="3"/>
  <c r="G179" i="3"/>
  <c r="H179" i="3"/>
  <c r="I179" i="3"/>
  <c r="D178" i="3"/>
  <c r="E178" i="3"/>
  <c r="F178" i="3"/>
  <c r="G178" i="3"/>
  <c r="H178" i="3"/>
  <c r="I178" i="3"/>
  <c r="D177" i="3"/>
  <c r="E177" i="3"/>
  <c r="F177" i="3"/>
  <c r="G177" i="3"/>
  <c r="H177" i="3"/>
  <c r="I177" i="3"/>
  <c r="D176" i="3"/>
  <c r="E176" i="3"/>
  <c r="F176" i="3"/>
  <c r="G176" i="3"/>
  <c r="H176" i="3"/>
  <c r="I176" i="3"/>
  <c r="D175" i="3"/>
  <c r="E175" i="3"/>
  <c r="F175" i="3"/>
  <c r="G175" i="3"/>
  <c r="H175" i="3"/>
  <c r="I175" i="3"/>
  <c r="D174" i="3"/>
  <c r="E174" i="3"/>
  <c r="F174" i="3"/>
  <c r="G174" i="3"/>
  <c r="H174" i="3"/>
  <c r="I174" i="3"/>
  <c r="D173" i="3"/>
  <c r="E173" i="3"/>
  <c r="F173" i="3"/>
  <c r="G173" i="3"/>
  <c r="H173" i="3"/>
  <c r="I173" i="3"/>
  <c r="D172" i="3"/>
  <c r="E172" i="3"/>
  <c r="F172" i="3"/>
  <c r="G172" i="3"/>
  <c r="H172" i="3"/>
  <c r="I172" i="3"/>
  <c r="D171" i="3"/>
  <c r="E171" i="3"/>
  <c r="F171" i="3"/>
  <c r="G171" i="3"/>
  <c r="H171" i="3"/>
  <c r="I171" i="3"/>
  <c r="D170" i="3"/>
  <c r="E170" i="3"/>
  <c r="F170" i="3"/>
  <c r="G170" i="3"/>
  <c r="H170" i="3"/>
  <c r="I170" i="3"/>
  <c r="D169" i="3"/>
  <c r="E169" i="3"/>
  <c r="F169" i="3"/>
  <c r="G169" i="3"/>
  <c r="H169" i="3"/>
  <c r="I169" i="3"/>
  <c r="D168" i="3"/>
  <c r="E168" i="3"/>
  <c r="F168" i="3"/>
  <c r="G168" i="3"/>
  <c r="H168" i="3"/>
  <c r="I168" i="3"/>
  <c r="D167" i="3"/>
  <c r="E167" i="3"/>
  <c r="F167" i="3"/>
  <c r="G167" i="3"/>
  <c r="H167" i="3"/>
  <c r="I167" i="3"/>
  <c r="D166" i="3"/>
  <c r="E166" i="3"/>
  <c r="F166" i="3"/>
  <c r="G166" i="3"/>
  <c r="H166" i="3"/>
  <c r="I166" i="3"/>
  <c r="D165" i="3"/>
  <c r="E165" i="3"/>
  <c r="F165" i="3"/>
  <c r="G165" i="3"/>
  <c r="H165" i="3"/>
  <c r="I165" i="3"/>
  <c r="D164" i="3"/>
  <c r="E164" i="3"/>
  <c r="F164" i="3"/>
  <c r="G164" i="3"/>
  <c r="H164" i="3"/>
  <c r="I164" i="3"/>
  <c r="D163" i="3"/>
  <c r="E163" i="3"/>
  <c r="F163" i="3"/>
  <c r="G163" i="3"/>
  <c r="H163" i="3"/>
  <c r="I163" i="3"/>
  <c r="D162" i="3"/>
  <c r="E162" i="3"/>
  <c r="F162" i="3"/>
  <c r="G162" i="3"/>
  <c r="H162" i="3"/>
  <c r="I162" i="3"/>
  <c r="D161" i="3"/>
  <c r="E161" i="3"/>
  <c r="F161" i="3"/>
  <c r="G161" i="3"/>
  <c r="H161" i="3"/>
  <c r="I161" i="3"/>
  <c r="D160" i="3"/>
  <c r="E160" i="3"/>
  <c r="F160" i="3"/>
  <c r="G160" i="3"/>
  <c r="H160" i="3"/>
  <c r="I160" i="3"/>
  <c r="D159" i="3"/>
  <c r="E159" i="3"/>
  <c r="F159" i="3"/>
  <c r="G159" i="3"/>
  <c r="H159" i="3"/>
  <c r="I159" i="3"/>
  <c r="D158" i="3"/>
  <c r="E158" i="3"/>
  <c r="F158" i="3"/>
  <c r="G158" i="3"/>
  <c r="H158" i="3"/>
  <c r="I158" i="3"/>
  <c r="D157" i="3"/>
  <c r="E157" i="3"/>
  <c r="F157" i="3"/>
  <c r="G157" i="3"/>
  <c r="H157" i="3"/>
  <c r="I157" i="3"/>
  <c r="D156" i="3"/>
  <c r="E156" i="3"/>
  <c r="F156" i="3"/>
  <c r="G156" i="3"/>
  <c r="H156" i="3"/>
  <c r="I156" i="3"/>
  <c r="D155" i="3"/>
  <c r="E155" i="3"/>
  <c r="F155" i="3"/>
  <c r="G155" i="3"/>
  <c r="H155" i="3"/>
  <c r="I155" i="3"/>
  <c r="D154" i="3"/>
  <c r="E154" i="3"/>
  <c r="F154" i="3"/>
  <c r="G154" i="3"/>
  <c r="H154" i="3"/>
  <c r="I154" i="3"/>
  <c r="D153" i="3"/>
  <c r="E153" i="3"/>
  <c r="F153" i="3"/>
  <c r="G153" i="3"/>
  <c r="H153" i="3"/>
  <c r="I153" i="3"/>
  <c r="D152" i="3"/>
  <c r="E152" i="3"/>
  <c r="F152" i="3"/>
  <c r="G152" i="3"/>
  <c r="H152" i="3"/>
  <c r="I152" i="3"/>
  <c r="D151" i="3"/>
  <c r="E151" i="3"/>
  <c r="F151" i="3"/>
  <c r="G151" i="3"/>
  <c r="H151" i="3"/>
  <c r="I151" i="3"/>
  <c r="D150" i="3"/>
  <c r="E150" i="3"/>
  <c r="F150" i="3"/>
  <c r="G150" i="3"/>
  <c r="H150" i="3"/>
  <c r="I150" i="3"/>
  <c r="D149" i="3"/>
  <c r="E149" i="3"/>
  <c r="F149" i="3"/>
  <c r="G149" i="3"/>
  <c r="H149" i="3"/>
  <c r="I149" i="3"/>
  <c r="D148" i="3"/>
  <c r="E148" i="3"/>
  <c r="F148" i="3"/>
  <c r="G148" i="3"/>
  <c r="H148" i="3"/>
  <c r="I148" i="3"/>
  <c r="D147" i="3"/>
  <c r="E147" i="3"/>
  <c r="F147" i="3"/>
  <c r="G147" i="3"/>
  <c r="H147" i="3"/>
  <c r="I147" i="3"/>
  <c r="D146" i="3"/>
  <c r="E146" i="3"/>
  <c r="F146" i="3"/>
  <c r="G146" i="3"/>
  <c r="H146" i="3"/>
  <c r="I146" i="3"/>
  <c r="D145" i="3"/>
  <c r="E145" i="3"/>
  <c r="F145" i="3"/>
  <c r="G145" i="3"/>
  <c r="H145" i="3"/>
  <c r="I145" i="3"/>
  <c r="D144" i="3"/>
  <c r="E144" i="3"/>
  <c r="F144" i="3"/>
  <c r="G144" i="3"/>
  <c r="H144" i="3"/>
  <c r="I144" i="3"/>
  <c r="D143" i="3"/>
  <c r="E143" i="3"/>
  <c r="F143" i="3"/>
  <c r="G143" i="3"/>
  <c r="H143" i="3"/>
  <c r="I143" i="3"/>
  <c r="E142" i="3"/>
  <c r="G142" i="3"/>
  <c r="I142" i="3"/>
  <c r="D142" i="3"/>
  <c r="F142" i="3"/>
  <c r="H142" i="3"/>
  <c r="D141" i="3"/>
  <c r="E141" i="3"/>
  <c r="H141" i="3"/>
  <c r="F141" i="3"/>
  <c r="G141" i="3"/>
  <c r="I141" i="3"/>
  <c r="D140" i="3"/>
  <c r="E140" i="3"/>
  <c r="F140" i="3"/>
  <c r="G140" i="3"/>
  <c r="H140" i="3"/>
  <c r="I140" i="3"/>
  <c r="D139" i="3"/>
  <c r="E139" i="3"/>
  <c r="F139" i="3"/>
  <c r="G139" i="3"/>
  <c r="H139" i="3"/>
  <c r="I139" i="3"/>
  <c r="D138" i="3"/>
  <c r="E138" i="3"/>
  <c r="F138" i="3"/>
  <c r="G138" i="3"/>
  <c r="H138" i="3"/>
  <c r="I138" i="3"/>
  <c r="D137" i="3"/>
  <c r="E137" i="3"/>
  <c r="F137" i="3"/>
  <c r="G137" i="3"/>
  <c r="H137" i="3"/>
  <c r="I137" i="3"/>
  <c r="D136" i="3"/>
  <c r="E136" i="3"/>
  <c r="F136" i="3"/>
  <c r="G136" i="3"/>
  <c r="H136" i="3"/>
  <c r="I136" i="3"/>
  <c r="D135" i="3"/>
  <c r="E135" i="3"/>
  <c r="F135" i="3"/>
  <c r="G135" i="3"/>
  <c r="H135" i="3"/>
  <c r="I135" i="3"/>
  <c r="D134" i="3"/>
  <c r="E134" i="3"/>
  <c r="F134" i="3"/>
  <c r="G134" i="3"/>
  <c r="H134" i="3"/>
  <c r="I134" i="3"/>
  <c r="D133" i="3"/>
  <c r="E133" i="3"/>
  <c r="F133" i="3"/>
  <c r="G133" i="3"/>
  <c r="H133" i="3"/>
  <c r="I133" i="3"/>
  <c r="D132" i="3"/>
  <c r="E132" i="3"/>
  <c r="F132" i="3"/>
  <c r="G132" i="3"/>
  <c r="H132" i="3"/>
  <c r="I132" i="3"/>
  <c r="D131" i="3"/>
  <c r="E131" i="3"/>
  <c r="F131" i="3"/>
  <c r="G131" i="3"/>
  <c r="H131" i="3"/>
  <c r="I131" i="3"/>
  <c r="D130" i="3"/>
  <c r="E130" i="3"/>
  <c r="F130" i="3"/>
  <c r="G130" i="3"/>
  <c r="H130" i="3"/>
  <c r="I130" i="3"/>
  <c r="D129" i="3"/>
  <c r="E129" i="3"/>
  <c r="F129" i="3"/>
  <c r="G129" i="3"/>
  <c r="H129" i="3"/>
  <c r="I129" i="3"/>
  <c r="D128" i="3"/>
  <c r="E128" i="3"/>
  <c r="F128" i="3"/>
  <c r="G128" i="3"/>
  <c r="H128" i="3"/>
  <c r="I128" i="3"/>
  <c r="D127" i="3"/>
  <c r="E127" i="3"/>
  <c r="F127" i="3"/>
  <c r="G127" i="3"/>
  <c r="H127" i="3"/>
  <c r="I127" i="3"/>
  <c r="D126" i="3"/>
  <c r="E126" i="3"/>
  <c r="F126" i="3"/>
  <c r="G126" i="3"/>
  <c r="H126" i="3"/>
  <c r="I126" i="3"/>
  <c r="D125" i="3"/>
  <c r="E125" i="3"/>
  <c r="F125" i="3"/>
  <c r="G125" i="3"/>
  <c r="H125" i="3"/>
  <c r="I125" i="3"/>
  <c r="D124" i="3"/>
  <c r="E124" i="3"/>
  <c r="F124" i="3"/>
  <c r="G124" i="3"/>
  <c r="H124" i="3"/>
  <c r="I124" i="3"/>
  <c r="D123" i="3"/>
  <c r="E123" i="3"/>
  <c r="F123" i="3"/>
  <c r="G123" i="3"/>
  <c r="H123" i="3"/>
  <c r="I123" i="3"/>
  <c r="D122" i="3"/>
  <c r="E122" i="3"/>
  <c r="F122" i="3"/>
  <c r="G122" i="3"/>
  <c r="H122" i="3"/>
  <c r="I122" i="3"/>
  <c r="D121" i="3"/>
  <c r="E121" i="3"/>
  <c r="F121" i="3"/>
  <c r="G121" i="3"/>
  <c r="H121" i="3"/>
  <c r="I121" i="3"/>
  <c r="D120" i="3"/>
  <c r="E120" i="3"/>
  <c r="F120" i="3"/>
  <c r="G120" i="3"/>
  <c r="H120" i="3"/>
  <c r="I120" i="3"/>
  <c r="F119" i="3"/>
  <c r="D119" i="3"/>
  <c r="G119" i="3"/>
  <c r="E119" i="3"/>
  <c r="H119" i="3"/>
  <c r="I119" i="3"/>
  <c r="D118" i="3"/>
  <c r="E118" i="3"/>
  <c r="F118" i="3"/>
  <c r="G118" i="3"/>
  <c r="I118" i="3"/>
  <c r="H118" i="3"/>
  <c r="D117" i="3"/>
  <c r="E117" i="3"/>
  <c r="F117" i="3"/>
  <c r="G117" i="3"/>
  <c r="H117" i="3"/>
  <c r="I117" i="3"/>
  <c r="D116" i="3"/>
  <c r="E116" i="3"/>
  <c r="F116" i="3"/>
  <c r="G116" i="3"/>
  <c r="H116" i="3"/>
  <c r="I116" i="3"/>
  <c r="D115" i="3"/>
  <c r="E115" i="3"/>
  <c r="F115" i="3"/>
  <c r="G115" i="3"/>
  <c r="H115" i="3"/>
  <c r="I115" i="3"/>
  <c r="D114" i="3"/>
  <c r="E114" i="3"/>
  <c r="F114" i="3"/>
  <c r="G114" i="3"/>
  <c r="H114" i="3"/>
  <c r="I114" i="3"/>
  <c r="D113" i="3"/>
  <c r="E113" i="3"/>
  <c r="F113" i="3"/>
  <c r="G113" i="3"/>
  <c r="H113" i="3"/>
  <c r="I113" i="3"/>
  <c r="D112" i="3"/>
  <c r="E112" i="3"/>
  <c r="F112" i="3"/>
  <c r="G112" i="3"/>
  <c r="H112" i="3"/>
  <c r="I112" i="3"/>
  <c r="D111" i="3"/>
  <c r="E111" i="3"/>
  <c r="F111" i="3"/>
  <c r="G111" i="3"/>
  <c r="H111" i="3"/>
  <c r="I111" i="3"/>
  <c r="D110" i="3"/>
  <c r="E110" i="3"/>
  <c r="F110" i="3"/>
  <c r="G110" i="3"/>
  <c r="H110" i="3"/>
  <c r="I110" i="3"/>
  <c r="D109" i="3"/>
  <c r="E109" i="3"/>
  <c r="F109" i="3"/>
  <c r="G109" i="3"/>
  <c r="H109" i="3"/>
  <c r="I109" i="3"/>
  <c r="D108" i="3"/>
  <c r="E108" i="3"/>
  <c r="F108" i="3"/>
  <c r="G108" i="3"/>
  <c r="H108" i="3"/>
  <c r="I108" i="3"/>
  <c r="D107" i="3"/>
  <c r="E107" i="3"/>
  <c r="F107" i="3"/>
  <c r="G107" i="3"/>
  <c r="H107" i="3"/>
  <c r="I107" i="3"/>
  <c r="D106" i="3"/>
  <c r="E106" i="3"/>
  <c r="F106" i="3"/>
  <c r="G106" i="3"/>
  <c r="H106" i="3"/>
  <c r="I106" i="3"/>
  <c r="D105" i="3"/>
  <c r="E105" i="3"/>
  <c r="F105" i="3"/>
  <c r="G105" i="3"/>
  <c r="H105" i="3"/>
  <c r="I105" i="3"/>
  <c r="D104" i="3"/>
  <c r="E104" i="3"/>
  <c r="F104" i="3"/>
  <c r="G104" i="3"/>
  <c r="H104" i="3"/>
  <c r="I104" i="3"/>
  <c r="D103" i="3"/>
  <c r="E103" i="3"/>
  <c r="F103" i="3"/>
  <c r="G103" i="3"/>
  <c r="H103" i="3"/>
  <c r="I103" i="3"/>
  <c r="D102" i="3"/>
  <c r="E102" i="3"/>
  <c r="F102" i="3"/>
  <c r="G102" i="3"/>
  <c r="H102" i="3"/>
  <c r="I102" i="3"/>
  <c r="D101" i="3"/>
  <c r="E101" i="3"/>
  <c r="F101" i="3"/>
  <c r="G101" i="3"/>
  <c r="H101" i="3"/>
  <c r="I101" i="3"/>
  <c r="D100" i="3"/>
  <c r="E100" i="3"/>
  <c r="F100" i="3"/>
  <c r="G100" i="3"/>
  <c r="H100" i="3"/>
  <c r="I100" i="3"/>
  <c r="D99" i="3"/>
  <c r="E99" i="3"/>
  <c r="F99" i="3"/>
  <c r="G99" i="3"/>
  <c r="H99" i="3"/>
  <c r="I99" i="3"/>
  <c r="D98" i="3"/>
  <c r="E98" i="3"/>
  <c r="F98" i="3"/>
  <c r="G98" i="3"/>
  <c r="H98" i="3"/>
  <c r="I98" i="3"/>
  <c r="E97" i="3"/>
  <c r="F97" i="3"/>
  <c r="G97" i="3"/>
  <c r="H97" i="3"/>
  <c r="I97" i="3"/>
  <c r="D97" i="3"/>
  <c r="H96" i="3"/>
  <c r="F96" i="3"/>
  <c r="D96" i="3"/>
  <c r="G96" i="3"/>
  <c r="E96" i="3"/>
  <c r="I96" i="3"/>
  <c r="G95" i="3"/>
  <c r="F95" i="3"/>
  <c r="H95" i="3"/>
  <c r="E95" i="3"/>
  <c r="D95" i="3"/>
  <c r="I95" i="3"/>
  <c r="H94" i="3"/>
  <c r="F94" i="3"/>
  <c r="D94" i="3"/>
  <c r="G94" i="3"/>
  <c r="E94" i="3"/>
  <c r="I94" i="3"/>
  <c r="G93" i="3"/>
  <c r="D93" i="3"/>
  <c r="H93" i="3"/>
  <c r="F93" i="3"/>
  <c r="E93" i="3"/>
  <c r="I93" i="3"/>
  <c r="G92" i="3"/>
  <c r="D92" i="3"/>
  <c r="E92" i="3"/>
  <c r="H92" i="3"/>
  <c r="F92" i="3"/>
  <c r="I92" i="3"/>
  <c r="G91" i="3"/>
  <c r="E91" i="3"/>
  <c r="H91" i="3"/>
  <c r="F91" i="3"/>
  <c r="I91" i="3"/>
  <c r="D91" i="3"/>
  <c r="H90" i="3"/>
  <c r="F90" i="3"/>
  <c r="D90" i="3"/>
  <c r="G90" i="3"/>
  <c r="E90" i="3"/>
  <c r="I90" i="3"/>
  <c r="G89" i="3"/>
  <c r="E89" i="3"/>
  <c r="I89" i="3"/>
  <c r="F89" i="3"/>
  <c r="D89" i="3"/>
  <c r="H89" i="3"/>
  <c r="H88" i="3"/>
  <c r="F88" i="3"/>
  <c r="I88" i="3"/>
  <c r="D88" i="3"/>
  <c r="G88" i="3"/>
  <c r="E88" i="3"/>
  <c r="F87" i="3"/>
  <c r="I87" i="3"/>
  <c r="E87" i="3"/>
  <c r="D87" i="3"/>
  <c r="H87" i="3"/>
  <c r="G87" i="3"/>
  <c r="H86" i="3"/>
  <c r="D86" i="3"/>
  <c r="G86" i="3"/>
  <c r="E86" i="3"/>
  <c r="I86" i="3"/>
  <c r="F86" i="3"/>
  <c r="G85" i="3"/>
  <c r="E85" i="3"/>
  <c r="I85" i="3"/>
  <c r="F85" i="3"/>
  <c r="H85" i="3"/>
  <c r="D85" i="3"/>
  <c r="G84" i="3"/>
  <c r="D84" i="3"/>
  <c r="E84" i="3"/>
  <c r="H84" i="3"/>
  <c r="F84" i="3"/>
  <c r="I84" i="3"/>
  <c r="F83" i="3"/>
  <c r="I83" i="3"/>
  <c r="E83" i="3"/>
  <c r="H83" i="3"/>
  <c r="D83" i="3"/>
  <c r="G83" i="3"/>
  <c r="E82" i="3"/>
  <c r="F82" i="3"/>
  <c r="I82" i="3"/>
  <c r="D82" i="3"/>
  <c r="G82" i="3"/>
  <c r="H82" i="3"/>
  <c r="F81" i="3"/>
  <c r="E81" i="3"/>
  <c r="I81" i="3"/>
  <c r="D81" i="3"/>
  <c r="H81" i="3"/>
  <c r="G81" i="3"/>
  <c r="H80" i="3"/>
  <c r="F80" i="3"/>
  <c r="I80" i="3"/>
  <c r="E80" i="3"/>
  <c r="D80" i="3"/>
  <c r="G80" i="3"/>
  <c r="I79" i="3"/>
  <c r="F79" i="3"/>
  <c r="E79" i="3"/>
  <c r="D79" i="3"/>
  <c r="G79" i="3"/>
  <c r="H79" i="3"/>
  <c r="H78" i="3"/>
  <c r="E78" i="3"/>
  <c r="I78" i="3"/>
  <c r="G78" i="3"/>
  <c r="D78" i="3"/>
  <c r="F78" i="3"/>
  <c r="D77" i="3"/>
  <c r="H77" i="3"/>
  <c r="F77" i="3"/>
  <c r="G77" i="3"/>
  <c r="E77" i="3"/>
  <c r="I77" i="3"/>
  <c r="H76" i="3"/>
  <c r="E76" i="3"/>
  <c r="I76" i="3"/>
  <c r="G76" i="3"/>
  <c r="D76" i="3"/>
  <c r="F76" i="3"/>
  <c r="H75" i="3"/>
  <c r="E75" i="3"/>
  <c r="I75" i="3"/>
  <c r="D75" i="3"/>
  <c r="G75" i="3"/>
  <c r="F75" i="3"/>
  <c r="F74" i="3"/>
  <c r="I74" i="3"/>
  <c r="D74" i="3"/>
  <c r="G74" i="3"/>
  <c r="E74" i="3"/>
  <c r="H74" i="3"/>
  <c r="G73" i="3"/>
  <c r="F73" i="3"/>
  <c r="I73" i="3"/>
  <c r="D73" i="3"/>
  <c r="E73" i="3"/>
  <c r="H73" i="3"/>
  <c r="G72" i="3"/>
  <c r="F72" i="3"/>
  <c r="E72" i="3"/>
  <c r="I72" i="3"/>
  <c r="D72" i="3"/>
  <c r="H72" i="3"/>
  <c r="E71" i="3"/>
  <c r="H71" i="3"/>
  <c r="D71" i="3"/>
  <c r="G71" i="3"/>
  <c r="F71" i="3"/>
  <c r="I71" i="3"/>
  <c r="F70" i="3"/>
  <c r="I70" i="3"/>
  <c r="E70" i="3"/>
  <c r="H70" i="3"/>
  <c r="D70" i="3"/>
  <c r="G70" i="3"/>
  <c r="E69" i="3"/>
  <c r="I69" i="3"/>
  <c r="G69" i="3"/>
  <c r="F69" i="3"/>
  <c r="H69" i="3"/>
  <c r="D69" i="3"/>
  <c r="G68" i="3"/>
  <c r="F68" i="3"/>
  <c r="I68" i="3"/>
  <c r="D68" i="3"/>
  <c r="H68" i="3"/>
  <c r="E68" i="3"/>
  <c r="G67" i="3"/>
  <c r="F67" i="3"/>
  <c r="E67" i="3"/>
  <c r="I67" i="3"/>
  <c r="D67" i="3"/>
  <c r="H67" i="3"/>
  <c r="H66" i="3"/>
  <c r="D66" i="3"/>
  <c r="I66" i="3"/>
  <c r="F66" i="3"/>
  <c r="E66" i="3"/>
  <c r="G66" i="3"/>
  <c r="F65" i="3"/>
  <c r="I65" i="3"/>
  <c r="E65" i="3"/>
  <c r="G65" i="3"/>
  <c r="D65" i="3"/>
  <c r="H65" i="3"/>
  <c r="F64" i="3"/>
  <c r="D64" i="3"/>
  <c r="G64" i="3"/>
  <c r="H64" i="3"/>
  <c r="E64" i="3"/>
  <c r="I64" i="3"/>
  <c r="G63" i="3"/>
  <c r="D63" i="3"/>
  <c r="I63" i="3"/>
  <c r="F63" i="3"/>
  <c r="E63" i="3"/>
  <c r="H63" i="3"/>
  <c r="E62" i="3"/>
  <c r="H62" i="3"/>
  <c r="F62" i="3"/>
  <c r="I62" i="3"/>
  <c r="D62" i="3"/>
  <c r="G62" i="3"/>
  <c r="G61" i="3"/>
  <c r="E61" i="3"/>
  <c r="I61" i="3"/>
  <c r="H61" i="3"/>
  <c r="D61" i="3"/>
  <c r="F61" i="3"/>
  <c r="G60" i="3"/>
  <c r="E60" i="3"/>
  <c r="I60" i="3"/>
  <c r="F60" i="3"/>
  <c r="D60" i="3"/>
  <c r="H60" i="3"/>
  <c r="G59" i="3"/>
  <c r="F59" i="3"/>
  <c r="I59" i="3"/>
  <c r="D59" i="3"/>
  <c r="H59" i="3"/>
  <c r="E59" i="3"/>
  <c r="F58" i="3"/>
  <c r="H58" i="3"/>
  <c r="G58" i="3"/>
  <c r="D58" i="3"/>
  <c r="I58" i="3"/>
  <c r="E58" i="3"/>
  <c r="F57" i="3"/>
  <c r="I57" i="3"/>
  <c r="E57" i="3"/>
  <c r="G57" i="3"/>
  <c r="D57" i="3"/>
  <c r="H57" i="3"/>
  <c r="E56" i="3"/>
  <c r="G56" i="3"/>
  <c r="F56" i="3"/>
  <c r="I56" i="3"/>
  <c r="D56" i="3"/>
  <c r="H56" i="3"/>
  <c r="H55" i="3"/>
  <c r="I55" i="3"/>
  <c r="D55" i="3"/>
  <c r="G55" i="3"/>
  <c r="E55" i="3"/>
  <c r="F55" i="3"/>
  <c r="F54" i="3"/>
  <c r="D54" i="3"/>
  <c r="E54" i="3"/>
  <c r="H54" i="3"/>
  <c r="G54" i="3"/>
  <c r="I54" i="3"/>
  <c r="F53" i="3"/>
  <c r="H53" i="3"/>
  <c r="E53" i="3"/>
  <c r="I53" i="3"/>
  <c r="D53" i="3"/>
  <c r="G53" i="3"/>
  <c r="F52" i="3"/>
  <c r="H52" i="3"/>
  <c r="E52" i="3"/>
  <c r="G52" i="3"/>
  <c r="D52" i="3"/>
  <c r="I52" i="3"/>
  <c r="E51" i="3"/>
  <c r="F51" i="3"/>
  <c r="H51" i="3"/>
  <c r="D51" i="3"/>
  <c r="G51" i="3"/>
  <c r="I51" i="3"/>
  <c r="E50" i="3"/>
  <c r="H50" i="3"/>
  <c r="D50" i="3"/>
  <c r="I50" i="3"/>
  <c r="F50" i="3"/>
  <c r="G50" i="3"/>
  <c r="H49" i="3"/>
  <c r="D49" i="3"/>
  <c r="G49" i="3"/>
  <c r="F49" i="3"/>
  <c r="I49" i="3"/>
  <c r="E49" i="3"/>
  <c r="I48" i="3"/>
  <c r="H48" i="3"/>
  <c r="D48" i="3"/>
  <c r="E48" i="3"/>
  <c r="F48" i="3"/>
  <c r="G48" i="3"/>
  <c r="I47" i="3"/>
  <c r="E47" i="3"/>
  <c r="H47" i="3"/>
  <c r="F47" i="3"/>
  <c r="D47" i="3"/>
  <c r="G47" i="3"/>
  <c r="I46" i="3"/>
  <c r="F46" i="3"/>
  <c r="G46" i="3"/>
  <c r="D46" i="3"/>
  <c r="H46" i="3"/>
  <c r="E46" i="3"/>
  <c r="F45" i="3"/>
  <c r="I45" i="3"/>
  <c r="D45" i="3"/>
  <c r="G45" i="3"/>
  <c r="E45" i="3"/>
  <c r="H45" i="3"/>
  <c r="F44" i="3"/>
  <c r="H44" i="3"/>
  <c r="G44" i="3"/>
  <c r="D44" i="3"/>
  <c r="I44" i="3"/>
  <c r="E44" i="3"/>
  <c r="H43" i="3"/>
  <c r="D43" i="3"/>
  <c r="I43" i="3"/>
  <c r="F43" i="3"/>
  <c r="E43" i="3"/>
  <c r="G43" i="3"/>
  <c r="G42" i="3"/>
  <c r="E42" i="3"/>
  <c r="I42" i="3"/>
  <c r="D42" i="3"/>
  <c r="H42" i="3"/>
  <c r="F42" i="3"/>
  <c r="F41" i="3"/>
  <c r="E41" i="3"/>
  <c r="D41" i="3"/>
  <c r="I41" i="3"/>
  <c r="G41" i="3"/>
  <c r="H41" i="3"/>
  <c r="G40" i="3"/>
  <c r="D40" i="3"/>
  <c r="I40" i="3"/>
  <c r="E40" i="3"/>
  <c r="H40" i="3"/>
  <c r="F40" i="3"/>
  <c r="I39" i="3"/>
  <c r="G39" i="3"/>
  <c r="D39" i="3"/>
  <c r="H39" i="3"/>
  <c r="F39" i="3"/>
  <c r="E39" i="3"/>
  <c r="H38" i="3"/>
  <c r="D38" i="3"/>
  <c r="E38" i="3"/>
  <c r="I38" i="3"/>
  <c r="F38" i="3"/>
  <c r="G38" i="3"/>
  <c r="F37" i="3"/>
  <c r="G37" i="3"/>
  <c r="H37" i="3"/>
  <c r="D37" i="3"/>
  <c r="E37" i="3"/>
  <c r="I37" i="3"/>
  <c r="F36" i="3"/>
  <c r="G36" i="3"/>
  <c r="D36" i="3"/>
  <c r="E36" i="3"/>
  <c r="I36" i="3"/>
  <c r="H36" i="3"/>
  <c r="H35" i="3"/>
  <c r="D35" i="3"/>
  <c r="F35" i="3"/>
  <c r="G35" i="3"/>
  <c r="E35" i="3"/>
  <c r="I35" i="3"/>
  <c r="H34" i="3"/>
  <c r="F34" i="3"/>
  <c r="G34" i="3"/>
  <c r="D34" i="3"/>
  <c r="I34" i="3"/>
  <c r="E34" i="3"/>
  <c r="F33" i="3"/>
  <c r="I33" i="3"/>
  <c r="H33" i="3"/>
  <c r="D33" i="3"/>
  <c r="G33" i="3"/>
  <c r="E33" i="3"/>
  <c r="I32" i="3"/>
  <c r="G32" i="3"/>
  <c r="F32" i="3"/>
  <c r="D32" i="3"/>
  <c r="E32" i="3"/>
  <c r="H32" i="3"/>
  <c r="G31" i="3"/>
  <c r="D31" i="3"/>
  <c r="H31" i="3"/>
  <c r="E31" i="3"/>
  <c r="I31" i="3"/>
  <c r="F31" i="3"/>
  <c r="I30" i="3"/>
  <c r="F30" i="3"/>
  <c r="H30" i="3"/>
  <c r="D30" i="3"/>
  <c r="G30" i="3"/>
  <c r="E30" i="3"/>
  <c r="H29" i="3"/>
  <c r="D29" i="3"/>
  <c r="I29" i="3"/>
  <c r="E29" i="3"/>
  <c r="G29" i="3"/>
  <c r="F29" i="3"/>
  <c r="D28" i="3"/>
  <c r="E28" i="3"/>
  <c r="F28" i="3"/>
  <c r="I28" i="3"/>
  <c r="G28" i="3"/>
  <c r="H28" i="3"/>
  <c r="G27" i="3"/>
  <c r="E27" i="3"/>
  <c r="H27" i="3"/>
  <c r="D27" i="3"/>
  <c r="F27" i="3"/>
  <c r="I27" i="3"/>
  <c r="H26" i="3"/>
  <c r="F26" i="3"/>
  <c r="I26" i="3"/>
  <c r="G26" i="3"/>
  <c r="E26" i="3"/>
  <c r="D26" i="3"/>
  <c r="I25" i="3"/>
  <c r="G25" i="3"/>
  <c r="D25" i="3"/>
  <c r="E25" i="3"/>
  <c r="H25" i="3"/>
  <c r="F25" i="3"/>
  <c r="E24" i="3"/>
  <c r="G24" i="3"/>
  <c r="F24" i="3"/>
  <c r="H24" i="3"/>
  <c r="I24" i="3"/>
  <c r="D24" i="3"/>
  <c r="I23" i="3"/>
  <c r="E23" i="3"/>
  <c r="D23" i="3"/>
  <c r="F23" i="3"/>
  <c r="H23" i="3"/>
  <c r="G23" i="3"/>
  <c r="D22" i="3"/>
  <c r="F22" i="3"/>
  <c r="G22" i="3"/>
  <c r="E22" i="3"/>
  <c r="I22" i="3"/>
  <c r="H22" i="3"/>
  <c r="G21" i="3"/>
  <c r="H21" i="3"/>
  <c r="E21" i="3"/>
  <c r="I21" i="3"/>
  <c r="F21" i="3"/>
  <c r="D21" i="3"/>
  <c r="F20" i="3"/>
  <c r="E20" i="3"/>
  <c r="I20" i="3"/>
  <c r="H20" i="3"/>
  <c r="D20" i="3"/>
  <c r="G20" i="3"/>
  <c r="E19" i="3"/>
  <c r="H19" i="3"/>
  <c r="I19" i="3"/>
  <c r="D19" i="3"/>
  <c r="F19" i="3"/>
  <c r="G19" i="3"/>
  <c r="I18" i="3"/>
  <c r="D18" i="3"/>
  <c r="E18" i="3"/>
  <c r="F18" i="3"/>
  <c r="H18" i="3"/>
  <c r="G18" i="3"/>
  <c r="H17" i="3"/>
  <c r="E17" i="3"/>
  <c r="D17" i="3"/>
  <c r="I17" i="3"/>
  <c r="G17" i="3"/>
  <c r="F17" i="3"/>
  <c r="H16" i="3"/>
  <c r="G16" i="3"/>
  <c r="E16" i="3"/>
  <c r="D16" i="3"/>
  <c r="F16" i="3"/>
  <c r="I16" i="3"/>
  <c r="F15" i="3"/>
  <c r="H15" i="3"/>
  <c r="D15" i="3"/>
  <c r="I15" i="3"/>
  <c r="E15" i="3"/>
  <c r="G15" i="3"/>
  <c r="H14" i="3"/>
  <c r="G14" i="3"/>
  <c r="F14" i="3"/>
  <c r="E14" i="3"/>
  <c r="D14" i="3"/>
  <c r="I14" i="3"/>
  <c r="H13" i="3"/>
  <c r="D13" i="3"/>
  <c r="G13" i="3"/>
  <c r="E13" i="3"/>
  <c r="F13" i="3"/>
  <c r="I13" i="3"/>
  <c r="I12" i="3"/>
  <c r="D12" i="3"/>
  <c r="H12" i="3"/>
  <c r="E12" i="3"/>
  <c r="G12" i="3"/>
  <c r="F12" i="3"/>
  <c r="H11" i="3"/>
  <c r="D11" i="3"/>
  <c r="I11" i="3"/>
  <c r="E11" i="3"/>
  <c r="F11" i="3"/>
  <c r="G11" i="3"/>
  <c r="G10" i="3"/>
  <c r="H10" i="3"/>
  <c r="I10" i="3"/>
  <c r="F10" i="3"/>
  <c r="E10" i="3"/>
  <c r="D10" i="3"/>
  <c r="H9" i="3"/>
  <c r="D9" i="3"/>
  <c r="F9" i="3"/>
  <c r="I9" i="3"/>
  <c r="G9" i="3"/>
  <c r="E9" i="3"/>
  <c r="F8" i="3"/>
  <c r="I8" i="3"/>
  <c r="D8" i="3"/>
  <c r="E8" i="3"/>
  <c r="H8" i="3"/>
  <c r="G8" i="3"/>
  <c r="H7" i="3"/>
  <c r="E7" i="3"/>
  <c r="I7" i="3"/>
  <c r="D7" i="3"/>
  <c r="G7" i="3"/>
  <c r="F7" i="3"/>
  <c r="F6" i="3"/>
  <c r="H6" i="3"/>
  <c r="I6" i="3"/>
  <c r="G6" i="3"/>
  <c r="E6" i="3"/>
  <c r="D6" i="3"/>
  <c r="I5" i="3"/>
  <c r="F5" i="3"/>
  <c r="D5" i="3"/>
  <c r="H5" i="3"/>
  <c r="E5" i="3"/>
  <c r="G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6" authorId="0" shapeId="0" xr:uid="{00000000-0006-0000-0100-000001000000}">
      <text>
        <r>
          <rPr>
            <sz val="10"/>
            <rFont val="Arial"/>
            <family val="2"/>
          </rPr>
          <t>Date the fifth-week vacation benefit takes effect. Defaults to 10/18/2026 per the Side Letter — update if the actual ratification/effective date differs.</t>
        </r>
      </text>
    </comment>
    <comment ref="D7" authorId="0" shapeId="0" xr:uid="{00000000-0006-0000-0100-000002000000}">
      <text>
        <r>
          <rPr>
            <sz val="10"/>
            <color rgb="FF000000"/>
            <rFont val="Arial"/>
            <family val="2"/>
          </rPr>
          <t>The employee's existing vacation/service anniversary date. Only the month and day are used — enter any year.</t>
        </r>
      </text>
    </comment>
    <comment ref="D8" authorId="0" shapeId="0" xr:uid="{00000000-0006-0000-0100-000003000000}">
      <text>
        <r>
          <rPr>
            <sz val="10"/>
            <color rgb="FF000000"/>
            <rFont val="Arial"/>
            <family val="2"/>
          </rPr>
          <t>Number of hours that equal ONE WEEK of this employee's vacation entitlement (e.g., 40 for a full-time 5-day/8-hr schedule). Confirm the correct figure for the employee's classification.</t>
        </r>
      </text>
    </comment>
  </commentList>
</comments>
</file>

<file path=xl/sharedStrings.xml><?xml version="1.0" encoding="utf-8"?>
<sst xmlns="http://schemas.openxmlformats.org/spreadsheetml/2006/main" count="44" uniqueCount="44">
  <si>
    <t>Fifth Week Vacation Transition — Proration Calculator</t>
  </si>
  <si>
    <t>Built from: Side Letter of Agreement, Fifth Week Vacation Transition (UFCW Local One)</t>
  </si>
  <si>
    <t>What this workbook does</t>
  </si>
  <si>
    <t>This workbook calculates the one-time, prorated fifth-week vacation benefit described in the Side Letter of Agreement covering the transition period between contract ratification/effective date and each employee's next anniversary date. It contains three tabs:</t>
  </si>
  <si>
    <t>• Calculator: Enter one employee's anniversary date and weekly vacation hours; the sheet returns their prorated fifth-week hours.</t>
  </si>
  <si>
    <t>• Anniversary Date Chart: A 365-row reference table — one row per possible anniversary date following the contract effective date — so any employee (or HR) can look up the prorated hours by date without using the calculator.</t>
  </si>
  <si>
    <t>The formula (Side Letter, Section 2)</t>
  </si>
  <si>
    <t>Prorated Fifth-Week Hours  =  (Employee's regular one-week vacation entitlement, in hours)  ×  (calendar days from the Contract Effective Date through the day immediately preceding the employee's next anniversary date)  ÷  365</t>
  </si>
  <si>
    <t>Result is rounded to the nearest one-quarter (¼) hour, per Section 2 of the Side Letter.</t>
  </si>
  <si>
    <t>Key dates &amp; assumptions</t>
  </si>
  <si>
    <t>• Contract Effective Date defaults to October 18, 2026, the date named in the Side Letter — change it on the Calculator tab (cell D6) if the actual ratification/effective date differs; the Anniversary Date Chart updates automatically.</t>
  </si>
  <si>
    <t>• "Anniversary Date" is the employee's existing service/vacation anniversary date used under the Collective Bargaining Agreement (only the month and day matter for this calculation — any year may be entered).</t>
  </si>
  <si>
    <t>• This proration applies ONLY to the newly negotiated fifth week. It does not change vacation already earned or credited (Side Letter, Section 4).</t>
  </si>
  <si>
    <t>• On the employee's first anniversary date after the Effective Date, they receive their full vacation entitlement, including the full fifth week (Side Letter, Section 3) — this is a one-time transition amount only.</t>
  </si>
  <si>
    <t>• Divide-by-365 is used exactly as written in the Side Letter (no leap-year adjustment).</t>
  </si>
  <si>
    <t>• Weekly vacation hour tiers shown on the Anniversary Date Chart (16/20/24/32/36/40 hrs) are illustrative examples for quick lookup. Confirm each employee's actual one-week vacation entitlement (varies by full-time/part-time status and classification) before relying on the chart — the Calculator tab lets you enter the exact figure for a specific employee.</t>
  </si>
  <si>
    <t>Cells shaded yellow with blue text are the only cells meant to be edited.</t>
  </si>
  <si>
    <t>Fifth Week Vacation — Transition Proration Calculator</t>
  </si>
  <si>
    <t>Enter an employee's anniversary date to calculate their one-time transition amount</t>
  </si>
  <si>
    <t xml:space="preserve">  INPUTS  (edit the yellow cells)</t>
  </si>
  <si>
    <t>Contract Effective Date</t>
  </si>
  <si>
    <t>Example: if the Effective Date is 10/18/2026 and the employee's anniversary is 3/15, their next anniversary is 3/15/2027 — 148 days after the Effective Date. A 40-hour employee would receive 40 × (148 ÷ 365) = 16.22 hours, rounded to 16.25 hours as their one-time transition amount. On 3/15/2027 they receive their full normal entitlement, including the complete fifth week.</t>
  </si>
  <si>
    <t>Employee Anniversary Date</t>
  </si>
  <si>
    <t>Employee's Weekly Vacation Hours (1 week entitlement)</t>
  </si>
  <si>
    <t xml:space="preserve">  RESULTS</t>
  </si>
  <si>
    <t>Next Anniversary Date (first anniversary on/after Effective Date)</t>
  </si>
  <si>
    <t>Days in Transition Period (Effective Date through day before Next Anniversary)</t>
  </si>
  <si>
    <t>Proration Percentage (Days ÷ 365)</t>
  </si>
  <si>
    <t>Prorated Fifth-Week Hours (exact)</t>
  </si>
  <si>
    <t>Prorated Fifth-Week Hours (rounded to nearest ¼ hour)</t>
  </si>
  <si>
    <t>Formula source: Side Letter of Agreement, Fifth Week Vacation Transition, Section 2.</t>
  </si>
  <si>
    <t>Yellow cells = editable inputs. Blue-shaded cells = calculated results (formulas).</t>
  </si>
  <si>
    <t>Anniversary Date Lookup Chart — Prorated Fifth-Week Vacation Hours</t>
  </si>
  <si>
    <t>Find the row matching your anniversary date (month/day) to see the one-time prorated fifth-week hours for common weekly-hour tiers. Dates below run from the Contract Effective Date (Calculator tab) through 364 days later, covering every possible anniversary date once.</t>
  </si>
  <si>
    <t>Anniversary Date
(next anniversary on/after Effective Date)</t>
  </si>
  <si>
    <t>Days in Transition
Period</t>
  </si>
  <si>
    <t>Proration %
(Days ÷ 365)</t>
  </si>
  <si>
    <t>16-hr week
Prorated Hours</t>
  </si>
  <si>
    <t>20-hr week
Prorated Hours</t>
  </si>
  <si>
    <t>24-hr week
Prorated Hours</t>
  </si>
  <si>
    <t>32-hr week
Prorated Hours</t>
  </si>
  <si>
    <t>36-hr week
Prorated Hours</t>
  </si>
  <si>
    <t>40-hr week
Prorated Hours</t>
  </si>
  <si>
    <t>Weekly-hour tiers are illustrative examples only — confirm each employee's actual one-week vacation entitlement before relying on this chart. Use the Calculator tab for an exact, employee-specific figure. Dates and hours recalculate automatically if the Contract Effective Date on the Calculator tab is changed.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</si>
</sst>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0.0%"/>
    <numFmt numFmtId="166" formatCode="0.0000"/>
  </numFmts>
  <fonts count="18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6"/>
      <color rgb="FF1F3864"/>
      <name val="Arial"/>
      <family val="2"/>
    </font>
    <font>
      <i/>
      <sz val="11"/>
      <color rgb="FF40404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0"/>
      <color rgb="FF808080"/>
      <name val="Arial"/>
      <family val="2"/>
    </font>
    <font>
      <i/>
      <sz val="9"/>
      <color rgb="FF80808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8"/>
      <color rgb="FF1F3864"/>
      <name val="Arial"/>
      <family val="2"/>
    </font>
    <font>
      <sz val="18"/>
      <color theme="1"/>
      <name val="Calibri"/>
      <family val="2"/>
      <charset val="1"/>
    </font>
    <font>
      <i/>
      <sz val="18"/>
      <color rgb="FF404040"/>
      <name val="Arial"/>
      <family val="2"/>
    </font>
    <font>
      <b/>
      <sz val="18"/>
      <color rgb="FFFFFFFF"/>
      <name val="Arial"/>
      <family val="2"/>
    </font>
    <font>
      <sz val="18"/>
      <color rgb="FF000000"/>
      <name val="Arial"/>
      <family val="2"/>
    </font>
    <font>
      <b/>
      <sz val="18"/>
      <color rgb="FF0000FF"/>
      <name val="Arial"/>
      <family val="2"/>
    </font>
    <font>
      <b/>
      <sz val="18"/>
      <name val="Arial"/>
      <family val="2"/>
    </font>
    <font>
      <i/>
      <sz val="18"/>
      <color rgb="FF80808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D9D9"/>
      </patternFill>
    </fill>
    <fill>
      <patternFill patternType="solid">
        <fgColor rgb="FFFFE699"/>
        <bgColor rgb="FFFFCC99"/>
      </patternFill>
    </fill>
    <fill>
      <patternFill patternType="solid">
        <fgColor rgb="FF2E5395"/>
        <bgColor rgb="FF1F3864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5" fillId="0" borderId="0" xfId="0" applyFont="1"/>
    <xf numFmtId="0" fontId="6" fillId="0" borderId="0" xfId="0" applyFont="1"/>
    <xf numFmtId="0" fontId="8" fillId="6" borderId="0" xfId="0" applyFont="1" applyFill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1" fontId="9" fillId="7" borderId="2" xfId="0" applyNumberFormat="1" applyFont="1" applyFill="1" applyBorder="1" applyAlignment="1">
      <alignment horizontal="center"/>
    </xf>
    <xf numFmtId="165" fontId="9" fillId="7" borderId="2" xfId="0" applyNumberFormat="1" applyFont="1" applyFill="1" applyBorder="1" applyAlignment="1">
      <alignment horizontal="center"/>
    </xf>
    <xf numFmtId="2" fontId="9" fillId="7" borderId="2" xfId="0" applyNumberFormat="1" applyFont="1" applyFill="1" applyBorder="1" applyAlignment="1">
      <alignment horizontal="center"/>
    </xf>
    <xf numFmtId="0" fontId="11" fillId="0" borderId="0" xfId="0" applyFont="1"/>
    <xf numFmtId="0" fontId="14" fillId="0" borderId="0" xfId="0" applyFont="1" applyAlignment="1">
      <alignment vertical="center" wrapText="1"/>
    </xf>
    <xf numFmtId="164" fontId="15" fillId="3" borderId="1" xfId="0" applyNumberFormat="1" applyFont="1" applyFill="1" applyBorder="1" applyAlignment="1">
      <alignment horizontal="center"/>
    </xf>
    <xf numFmtId="2" fontId="15" fillId="3" borderId="1" xfId="0" applyNumberFormat="1" applyFont="1" applyFill="1" applyBorder="1" applyAlignment="1">
      <alignment horizontal="center"/>
    </xf>
    <xf numFmtId="0" fontId="16" fillId="0" borderId="0" xfId="0" applyFont="1" applyAlignment="1">
      <alignment vertical="center" wrapText="1"/>
    </xf>
    <xf numFmtId="164" fontId="14" fillId="4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165" fontId="14" fillId="4" borderId="1" xfId="0" applyNumberFormat="1" applyFont="1" applyFill="1" applyBorder="1" applyAlignment="1">
      <alignment horizontal="center"/>
    </xf>
    <xf numFmtId="166" fontId="14" fillId="4" borderId="1" xfId="0" applyNumberFormat="1" applyFont="1" applyFill="1" applyBorder="1" applyAlignment="1">
      <alignment horizontal="center"/>
    </xf>
    <xf numFmtId="2" fontId="10" fillId="5" borderId="1" xfId="0" applyNumberFormat="1" applyFont="1" applyFill="1" applyBorder="1" applyAlignment="1">
      <alignment horizontal="center"/>
    </xf>
    <xf numFmtId="0" fontId="17" fillId="0" borderId="0" xfId="0" applyFont="1"/>
    <xf numFmtId="0" fontId="10" fillId="0" borderId="0" xfId="0" applyFont="1"/>
    <xf numFmtId="0" fontId="12" fillId="0" borderId="0" xfId="0" applyFont="1"/>
    <xf numFmtId="0" fontId="13" fillId="2" borderId="0" xfId="0" applyFont="1" applyFill="1"/>
    <xf numFmtId="0" fontId="12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78787"/>
      <rgbColor rgb="FF1F3864"/>
      <rgbColor rgb="FF339966"/>
      <rgbColor rgb="FF003300"/>
      <rgbColor rgb="FF333300"/>
      <rgbColor rgb="FF993300"/>
      <rgbColor rgb="FF993366"/>
      <rgbColor rgb="FF2E5395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Prorated Fifth-Week Hours by Days Into Transition Period (40-hr/week example)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'Anniversary Date Chart'!$I$4</c:f>
              <c:strCache>
                <c:ptCount val="1"/>
                <c:pt idx="0">
                  <c:v>40-hr week
Prorated Hours</c:v>
                </c:pt>
              </c:strCache>
            </c:strRef>
          </c:tx>
          <c:spPr>
            <a:ln w="21960">
              <a:solidFill>
                <a:srgbClr val="2E539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'Anniversary Date Chart'!$B$5:$B$369</c:f>
              <c:numCache>
                <c:formatCode>0</c:formatCode>
                <c:ptCount val="3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</c:numCache>
            </c:numRef>
          </c:cat>
          <c:val>
            <c:numRef>
              <c:f>'Anniversary Date Chart'!$I$5:$I$369</c:f>
              <c:numCache>
                <c:formatCode>0.00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0.25</c:v>
                </c:pt>
                <c:pt idx="4">
                  <c:v>0.5</c:v>
                </c:pt>
                <c:pt idx="5">
                  <c:v>0.5</c:v>
                </c:pt>
                <c:pt idx="6">
                  <c:v>0.75</c:v>
                </c:pt>
                <c:pt idx="7">
                  <c:v>0.75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1.25</c:v>
                </c:pt>
                <c:pt idx="12">
                  <c:v>1.25</c:v>
                </c:pt>
                <c:pt idx="13">
                  <c:v>1.5</c:v>
                </c:pt>
                <c:pt idx="14">
                  <c:v>1.5</c:v>
                </c:pt>
                <c:pt idx="15">
                  <c:v>1.75</c:v>
                </c:pt>
                <c:pt idx="16">
                  <c:v>1.75</c:v>
                </c:pt>
                <c:pt idx="17">
                  <c:v>1.75</c:v>
                </c:pt>
                <c:pt idx="18">
                  <c:v>2</c:v>
                </c:pt>
                <c:pt idx="19">
                  <c:v>2</c:v>
                </c:pt>
                <c:pt idx="20">
                  <c:v>2.25</c:v>
                </c:pt>
                <c:pt idx="21">
                  <c:v>2.25</c:v>
                </c:pt>
                <c:pt idx="22">
                  <c:v>2.5</c:v>
                </c:pt>
                <c:pt idx="23">
                  <c:v>2.5</c:v>
                </c:pt>
                <c:pt idx="24">
                  <c:v>2.75</c:v>
                </c:pt>
                <c:pt idx="25">
                  <c:v>2.75</c:v>
                </c:pt>
                <c:pt idx="26">
                  <c:v>2.75</c:v>
                </c:pt>
                <c:pt idx="27">
                  <c:v>3</c:v>
                </c:pt>
                <c:pt idx="28">
                  <c:v>3</c:v>
                </c:pt>
                <c:pt idx="29">
                  <c:v>3.25</c:v>
                </c:pt>
                <c:pt idx="30">
                  <c:v>3.25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3.75</c:v>
                </c:pt>
                <c:pt idx="35">
                  <c:v>3.75</c:v>
                </c:pt>
                <c:pt idx="36">
                  <c:v>4</c:v>
                </c:pt>
                <c:pt idx="37">
                  <c:v>4</c:v>
                </c:pt>
                <c:pt idx="38">
                  <c:v>4.25</c:v>
                </c:pt>
                <c:pt idx="39">
                  <c:v>4.25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4.75</c:v>
                </c:pt>
                <c:pt idx="44">
                  <c:v>4.75</c:v>
                </c:pt>
                <c:pt idx="45">
                  <c:v>5</c:v>
                </c:pt>
                <c:pt idx="46">
                  <c:v>5</c:v>
                </c:pt>
                <c:pt idx="47">
                  <c:v>5.25</c:v>
                </c:pt>
                <c:pt idx="48">
                  <c:v>5.25</c:v>
                </c:pt>
                <c:pt idx="49">
                  <c:v>5.25</c:v>
                </c:pt>
                <c:pt idx="50">
                  <c:v>5.5</c:v>
                </c:pt>
                <c:pt idx="51">
                  <c:v>5.5</c:v>
                </c:pt>
                <c:pt idx="52">
                  <c:v>5.75</c:v>
                </c:pt>
                <c:pt idx="53">
                  <c:v>5.75</c:v>
                </c:pt>
                <c:pt idx="54">
                  <c:v>6</c:v>
                </c:pt>
                <c:pt idx="55">
                  <c:v>6</c:v>
                </c:pt>
                <c:pt idx="56">
                  <c:v>6.25</c:v>
                </c:pt>
                <c:pt idx="57">
                  <c:v>6.25</c:v>
                </c:pt>
                <c:pt idx="58">
                  <c:v>6.25</c:v>
                </c:pt>
                <c:pt idx="59">
                  <c:v>6.5</c:v>
                </c:pt>
                <c:pt idx="60">
                  <c:v>6.5</c:v>
                </c:pt>
                <c:pt idx="61">
                  <c:v>6.75</c:v>
                </c:pt>
                <c:pt idx="62">
                  <c:v>6.75</c:v>
                </c:pt>
                <c:pt idx="63">
                  <c:v>7</c:v>
                </c:pt>
                <c:pt idx="64">
                  <c:v>7</c:v>
                </c:pt>
                <c:pt idx="65">
                  <c:v>7</c:v>
                </c:pt>
                <c:pt idx="66">
                  <c:v>7.25</c:v>
                </c:pt>
                <c:pt idx="67">
                  <c:v>7.25</c:v>
                </c:pt>
                <c:pt idx="68">
                  <c:v>7.5</c:v>
                </c:pt>
                <c:pt idx="69">
                  <c:v>7.5</c:v>
                </c:pt>
                <c:pt idx="70">
                  <c:v>7.75</c:v>
                </c:pt>
                <c:pt idx="71">
                  <c:v>7.75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8.25</c:v>
                </c:pt>
                <c:pt idx="76">
                  <c:v>8.25</c:v>
                </c:pt>
                <c:pt idx="77">
                  <c:v>8.5</c:v>
                </c:pt>
                <c:pt idx="78">
                  <c:v>8.5</c:v>
                </c:pt>
                <c:pt idx="79">
                  <c:v>8.75</c:v>
                </c:pt>
                <c:pt idx="80">
                  <c:v>8.75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9.25</c:v>
                </c:pt>
                <c:pt idx="85">
                  <c:v>9.25</c:v>
                </c:pt>
                <c:pt idx="86">
                  <c:v>9.5</c:v>
                </c:pt>
                <c:pt idx="87">
                  <c:v>9.5</c:v>
                </c:pt>
                <c:pt idx="88">
                  <c:v>9.75</c:v>
                </c:pt>
                <c:pt idx="89">
                  <c:v>9.75</c:v>
                </c:pt>
                <c:pt idx="90">
                  <c:v>9.75</c:v>
                </c:pt>
                <c:pt idx="91">
                  <c:v>10</c:v>
                </c:pt>
                <c:pt idx="92">
                  <c:v>10</c:v>
                </c:pt>
                <c:pt idx="93">
                  <c:v>10.25</c:v>
                </c:pt>
                <c:pt idx="94">
                  <c:v>10.25</c:v>
                </c:pt>
                <c:pt idx="95">
                  <c:v>10.5</c:v>
                </c:pt>
                <c:pt idx="96">
                  <c:v>10.5</c:v>
                </c:pt>
                <c:pt idx="97">
                  <c:v>10.75</c:v>
                </c:pt>
                <c:pt idx="98">
                  <c:v>10.75</c:v>
                </c:pt>
                <c:pt idx="99">
                  <c:v>10.75</c:v>
                </c:pt>
                <c:pt idx="100">
                  <c:v>11</c:v>
                </c:pt>
                <c:pt idx="101">
                  <c:v>11</c:v>
                </c:pt>
                <c:pt idx="102">
                  <c:v>11.25</c:v>
                </c:pt>
                <c:pt idx="103">
                  <c:v>11.25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11.75</c:v>
                </c:pt>
                <c:pt idx="108">
                  <c:v>11.75</c:v>
                </c:pt>
                <c:pt idx="109">
                  <c:v>12</c:v>
                </c:pt>
                <c:pt idx="110">
                  <c:v>12</c:v>
                </c:pt>
                <c:pt idx="111">
                  <c:v>12.25</c:v>
                </c:pt>
                <c:pt idx="112">
                  <c:v>12.25</c:v>
                </c:pt>
                <c:pt idx="113">
                  <c:v>12.5</c:v>
                </c:pt>
                <c:pt idx="114">
                  <c:v>12.5</c:v>
                </c:pt>
                <c:pt idx="115">
                  <c:v>12.5</c:v>
                </c:pt>
                <c:pt idx="116">
                  <c:v>12.75</c:v>
                </c:pt>
                <c:pt idx="117">
                  <c:v>12.75</c:v>
                </c:pt>
                <c:pt idx="118">
                  <c:v>13</c:v>
                </c:pt>
                <c:pt idx="119">
                  <c:v>13</c:v>
                </c:pt>
                <c:pt idx="120">
                  <c:v>13.25</c:v>
                </c:pt>
                <c:pt idx="121">
                  <c:v>13.25</c:v>
                </c:pt>
                <c:pt idx="122">
                  <c:v>13.25</c:v>
                </c:pt>
                <c:pt idx="123">
                  <c:v>13.5</c:v>
                </c:pt>
                <c:pt idx="124">
                  <c:v>13.5</c:v>
                </c:pt>
                <c:pt idx="125">
                  <c:v>13.75</c:v>
                </c:pt>
                <c:pt idx="126">
                  <c:v>13.75</c:v>
                </c:pt>
                <c:pt idx="127">
                  <c:v>14</c:v>
                </c:pt>
                <c:pt idx="128">
                  <c:v>14</c:v>
                </c:pt>
                <c:pt idx="129">
                  <c:v>14.25</c:v>
                </c:pt>
                <c:pt idx="130">
                  <c:v>14.25</c:v>
                </c:pt>
                <c:pt idx="131">
                  <c:v>14.25</c:v>
                </c:pt>
                <c:pt idx="132">
                  <c:v>14.5</c:v>
                </c:pt>
                <c:pt idx="133">
                  <c:v>14.5</c:v>
                </c:pt>
                <c:pt idx="134">
                  <c:v>14.75</c:v>
                </c:pt>
                <c:pt idx="135">
                  <c:v>14.75</c:v>
                </c:pt>
                <c:pt idx="136">
                  <c:v>15</c:v>
                </c:pt>
                <c:pt idx="137">
                  <c:v>15</c:v>
                </c:pt>
                <c:pt idx="138">
                  <c:v>15</c:v>
                </c:pt>
                <c:pt idx="139">
                  <c:v>15.25</c:v>
                </c:pt>
                <c:pt idx="140">
                  <c:v>15.25</c:v>
                </c:pt>
                <c:pt idx="141">
                  <c:v>15.5</c:v>
                </c:pt>
                <c:pt idx="142">
                  <c:v>15.5</c:v>
                </c:pt>
                <c:pt idx="143">
                  <c:v>15.75</c:v>
                </c:pt>
                <c:pt idx="144">
                  <c:v>15.75</c:v>
                </c:pt>
                <c:pt idx="145">
                  <c:v>16</c:v>
                </c:pt>
                <c:pt idx="146">
                  <c:v>16</c:v>
                </c:pt>
                <c:pt idx="147">
                  <c:v>16</c:v>
                </c:pt>
                <c:pt idx="148">
                  <c:v>16.25</c:v>
                </c:pt>
                <c:pt idx="149">
                  <c:v>16.25</c:v>
                </c:pt>
                <c:pt idx="150">
                  <c:v>16.5</c:v>
                </c:pt>
                <c:pt idx="151">
                  <c:v>16.5</c:v>
                </c:pt>
                <c:pt idx="152">
                  <c:v>16.75</c:v>
                </c:pt>
                <c:pt idx="153">
                  <c:v>16.75</c:v>
                </c:pt>
                <c:pt idx="154">
                  <c:v>17</c:v>
                </c:pt>
                <c:pt idx="155">
                  <c:v>17</c:v>
                </c:pt>
                <c:pt idx="156">
                  <c:v>17</c:v>
                </c:pt>
                <c:pt idx="157">
                  <c:v>17.25</c:v>
                </c:pt>
                <c:pt idx="158">
                  <c:v>17.25</c:v>
                </c:pt>
                <c:pt idx="159">
                  <c:v>17.5</c:v>
                </c:pt>
                <c:pt idx="160">
                  <c:v>17.5</c:v>
                </c:pt>
                <c:pt idx="161">
                  <c:v>17.75</c:v>
                </c:pt>
                <c:pt idx="162">
                  <c:v>17.75</c:v>
                </c:pt>
                <c:pt idx="163">
                  <c:v>17.75</c:v>
                </c:pt>
                <c:pt idx="164">
                  <c:v>18</c:v>
                </c:pt>
                <c:pt idx="165">
                  <c:v>18</c:v>
                </c:pt>
                <c:pt idx="166">
                  <c:v>18.25</c:v>
                </c:pt>
                <c:pt idx="167">
                  <c:v>18.25</c:v>
                </c:pt>
                <c:pt idx="168">
                  <c:v>18.5</c:v>
                </c:pt>
                <c:pt idx="169">
                  <c:v>18.5</c:v>
                </c:pt>
                <c:pt idx="170">
                  <c:v>18.75</c:v>
                </c:pt>
                <c:pt idx="171">
                  <c:v>18.75</c:v>
                </c:pt>
                <c:pt idx="172">
                  <c:v>18.75</c:v>
                </c:pt>
                <c:pt idx="173">
                  <c:v>19</c:v>
                </c:pt>
                <c:pt idx="174">
                  <c:v>19</c:v>
                </c:pt>
                <c:pt idx="175">
                  <c:v>19.25</c:v>
                </c:pt>
                <c:pt idx="176">
                  <c:v>19.25</c:v>
                </c:pt>
                <c:pt idx="177">
                  <c:v>19.5</c:v>
                </c:pt>
                <c:pt idx="178">
                  <c:v>19.5</c:v>
                </c:pt>
                <c:pt idx="179">
                  <c:v>19.5</c:v>
                </c:pt>
                <c:pt idx="180">
                  <c:v>19.75</c:v>
                </c:pt>
                <c:pt idx="181">
                  <c:v>19.75</c:v>
                </c:pt>
                <c:pt idx="182">
                  <c:v>20</c:v>
                </c:pt>
                <c:pt idx="183">
                  <c:v>20</c:v>
                </c:pt>
                <c:pt idx="184">
                  <c:v>20.25</c:v>
                </c:pt>
                <c:pt idx="185">
                  <c:v>20.25</c:v>
                </c:pt>
                <c:pt idx="186">
                  <c:v>20.5</c:v>
                </c:pt>
                <c:pt idx="187">
                  <c:v>20.5</c:v>
                </c:pt>
                <c:pt idx="188">
                  <c:v>20.5</c:v>
                </c:pt>
                <c:pt idx="189">
                  <c:v>20.75</c:v>
                </c:pt>
                <c:pt idx="190">
                  <c:v>20.75</c:v>
                </c:pt>
                <c:pt idx="191">
                  <c:v>21</c:v>
                </c:pt>
                <c:pt idx="192">
                  <c:v>21</c:v>
                </c:pt>
                <c:pt idx="193">
                  <c:v>21.25</c:v>
                </c:pt>
                <c:pt idx="194">
                  <c:v>21.25</c:v>
                </c:pt>
                <c:pt idx="195">
                  <c:v>21.25</c:v>
                </c:pt>
                <c:pt idx="196">
                  <c:v>21.5</c:v>
                </c:pt>
                <c:pt idx="197">
                  <c:v>21.5</c:v>
                </c:pt>
                <c:pt idx="198">
                  <c:v>21.75</c:v>
                </c:pt>
                <c:pt idx="199">
                  <c:v>21.75</c:v>
                </c:pt>
                <c:pt idx="200">
                  <c:v>22</c:v>
                </c:pt>
                <c:pt idx="201">
                  <c:v>22</c:v>
                </c:pt>
                <c:pt idx="202">
                  <c:v>22.25</c:v>
                </c:pt>
                <c:pt idx="203">
                  <c:v>22.25</c:v>
                </c:pt>
                <c:pt idx="204">
                  <c:v>22.25</c:v>
                </c:pt>
                <c:pt idx="205">
                  <c:v>22.5</c:v>
                </c:pt>
                <c:pt idx="206">
                  <c:v>22.5</c:v>
                </c:pt>
                <c:pt idx="207">
                  <c:v>22.75</c:v>
                </c:pt>
                <c:pt idx="208">
                  <c:v>22.75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23.25</c:v>
                </c:pt>
                <c:pt idx="213">
                  <c:v>23.25</c:v>
                </c:pt>
                <c:pt idx="214">
                  <c:v>23.5</c:v>
                </c:pt>
                <c:pt idx="215">
                  <c:v>23.5</c:v>
                </c:pt>
                <c:pt idx="216">
                  <c:v>23.75</c:v>
                </c:pt>
                <c:pt idx="217">
                  <c:v>23.75</c:v>
                </c:pt>
                <c:pt idx="218">
                  <c:v>24</c:v>
                </c:pt>
                <c:pt idx="219">
                  <c:v>24</c:v>
                </c:pt>
                <c:pt idx="220">
                  <c:v>24</c:v>
                </c:pt>
                <c:pt idx="221">
                  <c:v>24.25</c:v>
                </c:pt>
                <c:pt idx="222">
                  <c:v>24.25</c:v>
                </c:pt>
                <c:pt idx="223">
                  <c:v>24.5</c:v>
                </c:pt>
                <c:pt idx="224">
                  <c:v>24.5</c:v>
                </c:pt>
                <c:pt idx="225">
                  <c:v>24.75</c:v>
                </c:pt>
                <c:pt idx="226">
                  <c:v>24.75</c:v>
                </c:pt>
                <c:pt idx="227">
                  <c:v>25</c:v>
                </c:pt>
                <c:pt idx="228">
                  <c:v>25</c:v>
                </c:pt>
                <c:pt idx="229">
                  <c:v>25</c:v>
                </c:pt>
                <c:pt idx="230">
                  <c:v>25.25</c:v>
                </c:pt>
                <c:pt idx="231">
                  <c:v>25.25</c:v>
                </c:pt>
                <c:pt idx="232">
                  <c:v>25.5</c:v>
                </c:pt>
                <c:pt idx="233">
                  <c:v>25.5</c:v>
                </c:pt>
                <c:pt idx="234">
                  <c:v>25.75</c:v>
                </c:pt>
                <c:pt idx="235">
                  <c:v>25.75</c:v>
                </c:pt>
                <c:pt idx="236">
                  <c:v>25.75</c:v>
                </c:pt>
                <c:pt idx="237">
                  <c:v>26</c:v>
                </c:pt>
                <c:pt idx="238">
                  <c:v>26</c:v>
                </c:pt>
                <c:pt idx="239">
                  <c:v>26.25</c:v>
                </c:pt>
                <c:pt idx="240">
                  <c:v>26.25</c:v>
                </c:pt>
                <c:pt idx="241">
                  <c:v>26.5</c:v>
                </c:pt>
                <c:pt idx="242">
                  <c:v>26.5</c:v>
                </c:pt>
                <c:pt idx="243">
                  <c:v>26.75</c:v>
                </c:pt>
                <c:pt idx="244">
                  <c:v>26.75</c:v>
                </c:pt>
                <c:pt idx="245">
                  <c:v>26.75</c:v>
                </c:pt>
                <c:pt idx="246">
                  <c:v>27</c:v>
                </c:pt>
                <c:pt idx="247">
                  <c:v>27</c:v>
                </c:pt>
                <c:pt idx="248">
                  <c:v>27.25</c:v>
                </c:pt>
                <c:pt idx="249">
                  <c:v>27.25</c:v>
                </c:pt>
                <c:pt idx="250">
                  <c:v>27.5</c:v>
                </c:pt>
                <c:pt idx="251">
                  <c:v>27.5</c:v>
                </c:pt>
                <c:pt idx="252">
                  <c:v>27.5</c:v>
                </c:pt>
                <c:pt idx="253">
                  <c:v>27.75</c:v>
                </c:pt>
                <c:pt idx="254">
                  <c:v>27.75</c:v>
                </c:pt>
                <c:pt idx="255">
                  <c:v>28</c:v>
                </c:pt>
                <c:pt idx="256">
                  <c:v>28</c:v>
                </c:pt>
                <c:pt idx="257">
                  <c:v>28.25</c:v>
                </c:pt>
                <c:pt idx="258">
                  <c:v>28.25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28.75</c:v>
                </c:pt>
                <c:pt idx="263">
                  <c:v>28.75</c:v>
                </c:pt>
                <c:pt idx="264">
                  <c:v>29</c:v>
                </c:pt>
                <c:pt idx="265">
                  <c:v>29</c:v>
                </c:pt>
                <c:pt idx="266">
                  <c:v>29.25</c:v>
                </c:pt>
                <c:pt idx="267">
                  <c:v>29.25</c:v>
                </c:pt>
                <c:pt idx="268">
                  <c:v>29.25</c:v>
                </c:pt>
                <c:pt idx="269">
                  <c:v>29.5</c:v>
                </c:pt>
                <c:pt idx="270">
                  <c:v>29.5</c:v>
                </c:pt>
                <c:pt idx="271">
                  <c:v>29.75</c:v>
                </c:pt>
                <c:pt idx="272">
                  <c:v>29.75</c:v>
                </c:pt>
                <c:pt idx="273">
                  <c:v>30</c:v>
                </c:pt>
                <c:pt idx="274">
                  <c:v>30</c:v>
                </c:pt>
                <c:pt idx="275">
                  <c:v>30.25</c:v>
                </c:pt>
                <c:pt idx="276">
                  <c:v>30.25</c:v>
                </c:pt>
                <c:pt idx="277">
                  <c:v>30.25</c:v>
                </c:pt>
                <c:pt idx="278">
                  <c:v>30.5</c:v>
                </c:pt>
                <c:pt idx="279">
                  <c:v>30.5</c:v>
                </c:pt>
                <c:pt idx="280">
                  <c:v>30.75</c:v>
                </c:pt>
                <c:pt idx="281">
                  <c:v>30.75</c:v>
                </c:pt>
                <c:pt idx="282">
                  <c:v>31</c:v>
                </c:pt>
                <c:pt idx="283">
                  <c:v>31</c:v>
                </c:pt>
                <c:pt idx="284">
                  <c:v>31</c:v>
                </c:pt>
                <c:pt idx="285">
                  <c:v>31.25</c:v>
                </c:pt>
                <c:pt idx="286">
                  <c:v>31.25</c:v>
                </c:pt>
                <c:pt idx="287">
                  <c:v>31.5</c:v>
                </c:pt>
                <c:pt idx="288">
                  <c:v>31.5</c:v>
                </c:pt>
                <c:pt idx="289">
                  <c:v>31.75</c:v>
                </c:pt>
                <c:pt idx="290">
                  <c:v>31.75</c:v>
                </c:pt>
                <c:pt idx="291">
                  <c:v>32</c:v>
                </c:pt>
                <c:pt idx="292">
                  <c:v>32</c:v>
                </c:pt>
                <c:pt idx="293">
                  <c:v>32</c:v>
                </c:pt>
                <c:pt idx="294">
                  <c:v>32.25</c:v>
                </c:pt>
                <c:pt idx="295">
                  <c:v>32.25</c:v>
                </c:pt>
                <c:pt idx="296">
                  <c:v>32.5</c:v>
                </c:pt>
                <c:pt idx="297">
                  <c:v>32.5</c:v>
                </c:pt>
                <c:pt idx="298">
                  <c:v>32.75</c:v>
                </c:pt>
                <c:pt idx="299">
                  <c:v>32.75</c:v>
                </c:pt>
                <c:pt idx="300">
                  <c:v>33</c:v>
                </c:pt>
                <c:pt idx="301">
                  <c:v>33</c:v>
                </c:pt>
                <c:pt idx="302">
                  <c:v>33</c:v>
                </c:pt>
                <c:pt idx="303">
                  <c:v>33.25</c:v>
                </c:pt>
                <c:pt idx="304">
                  <c:v>33.25</c:v>
                </c:pt>
                <c:pt idx="305">
                  <c:v>33.5</c:v>
                </c:pt>
                <c:pt idx="306">
                  <c:v>33.5</c:v>
                </c:pt>
                <c:pt idx="307">
                  <c:v>33.75</c:v>
                </c:pt>
                <c:pt idx="308">
                  <c:v>33.75</c:v>
                </c:pt>
                <c:pt idx="309">
                  <c:v>33.75</c:v>
                </c:pt>
                <c:pt idx="310">
                  <c:v>34</c:v>
                </c:pt>
                <c:pt idx="311">
                  <c:v>34</c:v>
                </c:pt>
                <c:pt idx="312">
                  <c:v>34.25</c:v>
                </c:pt>
                <c:pt idx="313">
                  <c:v>34.25</c:v>
                </c:pt>
                <c:pt idx="314">
                  <c:v>34.5</c:v>
                </c:pt>
                <c:pt idx="315">
                  <c:v>34.5</c:v>
                </c:pt>
                <c:pt idx="316">
                  <c:v>34.75</c:v>
                </c:pt>
                <c:pt idx="317">
                  <c:v>34.75</c:v>
                </c:pt>
                <c:pt idx="318">
                  <c:v>34.75</c:v>
                </c:pt>
                <c:pt idx="319">
                  <c:v>35</c:v>
                </c:pt>
                <c:pt idx="320">
                  <c:v>35</c:v>
                </c:pt>
                <c:pt idx="321">
                  <c:v>35.25</c:v>
                </c:pt>
                <c:pt idx="322">
                  <c:v>35.25</c:v>
                </c:pt>
                <c:pt idx="323">
                  <c:v>35.5</c:v>
                </c:pt>
                <c:pt idx="324">
                  <c:v>35.5</c:v>
                </c:pt>
                <c:pt idx="325">
                  <c:v>35.5</c:v>
                </c:pt>
                <c:pt idx="326">
                  <c:v>35.75</c:v>
                </c:pt>
                <c:pt idx="327">
                  <c:v>35.75</c:v>
                </c:pt>
                <c:pt idx="328">
                  <c:v>36</c:v>
                </c:pt>
                <c:pt idx="329">
                  <c:v>36</c:v>
                </c:pt>
                <c:pt idx="330">
                  <c:v>36.25</c:v>
                </c:pt>
                <c:pt idx="331">
                  <c:v>36.25</c:v>
                </c:pt>
                <c:pt idx="332">
                  <c:v>36.5</c:v>
                </c:pt>
                <c:pt idx="333">
                  <c:v>36.5</c:v>
                </c:pt>
                <c:pt idx="334">
                  <c:v>36.5</c:v>
                </c:pt>
                <c:pt idx="335">
                  <c:v>36.75</c:v>
                </c:pt>
                <c:pt idx="336">
                  <c:v>36.75</c:v>
                </c:pt>
                <c:pt idx="337">
                  <c:v>37</c:v>
                </c:pt>
                <c:pt idx="338">
                  <c:v>37</c:v>
                </c:pt>
                <c:pt idx="339">
                  <c:v>37.25</c:v>
                </c:pt>
                <c:pt idx="340">
                  <c:v>37.25</c:v>
                </c:pt>
                <c:pt idx="341">
                  <c:v>37.25</c:v>
                </c:pt>
                <c:pt idx="342">
                  <c:v>37.5</c:v>
                </c:pt>
                <c:pt idx="343">
                  <c:v>37.5</c:v>
                </c:pt>
                <c:pt idx="344">
                  <c:v>37.75</c:v>
                </c:pt>
                <c:pt idx="345">
                  <c:v>37.75</c:v>
                </c:pt>
                <c:pt idx="346">
                  <c:v>38</c:v>
                </c:pt>
                <c:pt idx="347">
                  <c:v>38</c:v>
                </c:pt>
                <c:pt idx="348">
                  <c:v>38.25</c:v>
                </c:pt>
                <c:pt idx="349">
                  <c:v>38.25</c:v>
                </c:pt>
                <c:pt idx="350">
                  <c:v>38.25</c:v>
                </c:pt>
                <c:pt idx="351">
                  <c:v>38.5</c:v>
                </c:pt>
                <c:pt idx="352">
                  <c:v>38.5</c:v>
                </c:pt>
                <c:pt idx="353">
                  <c:v>38.75</c:v>
                </c:pt>
                <c:pt idx="354">
                  <c:v>38.75</c:v>
                </c:pt>
                <c:pt idx="355">
                  <c:v>39</c:v>
                </c:pt>
                <c:pt idx="356">
                  <c:v>39</c:v>
                </c:pt>
                <c:pt idx="357">
                  <c:v>39</c:v>
                </c:pt>
                <c:pt idx="358">
                  <c:v>39.25</c:v>
                </c:pt>
                <c:pt idx="359">
                  <c:v>39.25</c:v>
                </c:pt>
                <c:pt idx="360">
                  <c:v>39.5</c:v>
                </c:pt>
                <c:pt idx="361">
                  <c:v>39.5</c:v>
                </c:pt>
                <c:pt idx="362">
                  <c:v>39.75</c:v>
                </c:pt>
                <c:pt idx="363">
                  <c:v>39.75</c:v>
                </c:pt>
                <c:pt idx="36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6-B34E-8BFA-435FFD1F2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8794919"/>
        <c:axId val="5467347"/>
      </c:lineChart>
      <c:catAx>
        <c:axId val="8879491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Days Since Contract Effective Date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67347"/>
        <c:crosses val="autoZero"/>
        <c:auto val="1"/>
        <c:lblAlgn val="ctr"/>
        <c:lblOffset val="100"/>
        <c:noMultiLvlLbl val="0"/>
      </c:catAx>
      <c:valAx>
        <c:axId val="546734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Prorated Hours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879491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131040</xdr:rowOff>
    </xdr:from>
    <xdr:to>
      <xdr:col>22</xdr:col>
      <xdr:colOff>581400</xdr:colOff>
      <xdr:row>18</xdr:row>
      <xdr:rowOff>113040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4"/>
  <sheetViews>
    <sheetView showGridLines="0" zoomScaleNormal="100" workbookViewId="0"/>
  </sheetViews>
  <sheetFormatPr baseColWidth="10" defaultColWidth="8.6640625" defaultRowHeight="15" x14ac:dyDescent="0.2"/>
  <cols>
    <col min="1" max="1" width="3" customWidth="1"/>
    <col min="2" max="2" width="100" customWidth="1"/>
  </cols>
  <sheetData>
    <row r="2" spans="2:2" ht="20" x14ac:dyDescent="0.2">
      <c r="B2" s="1" t="s">
        <v>0</v>
      </c>
    </row>
    <row r="3" spans="2:2" x14ac:dyDescent="0.2">
      <c r="B3" s="2" t="s">
        <v>1</v>
      </c>
    </row>
    <row r="5" spans="2:2" x14ac:dyDescent="0.2">
      <c r="B5" s="3" t="s">
        <v>2</v>
      </c>
    </row>
    <row r="6" spans="2:2" ht="45" customHeight="1" x14ac:dyDescent="0.2">
      <c r="B6" s="4" t="s">
        <v>3</v>
      </c>
    </row>
    <row r="8" spans="2:2" ht="30" customHeight="1" x14ac:dyDescent="0.2">
      <c r="B8" s="4" t="s">
        <v>4</v>
      </c>
    </row>
    <row r="9" spans="2:2" ht="30" customHeight="1" x14ac:dyDescent="0.2">
      <c r="B9" s="4" t="s">
        <v>5</v>
      </c>
    </row>
    <row r="11" spans="2:2" x14ac:dyDescent="0.2">
      <c r="B11" s="3" t="s">
        <v>6</v>
      </c>
    </row>
    <row r="12" spans="2:2" ht="45" customHeight="1" x14ac:dyDescent="0.2">
      <c r="B12" s="4" t="s">
        <v>7</v>
      </c>
    </row>
    <row r="14" spans="2:2" x14ac:dyDescent="0.2">
      <c r="B14" s="5" t="s">
        <v>8</v>
      </c>
    </row>
    <row r="16" spans="2:2" x14ac:dyDescent="0.2">
      <c r="B16" s="3" t="s">
        <v>9</v>
      </c>
    </row>
    <row r="17" spans="2:2" ht="30" customHeight="1" x14ac:dyDescent="0.2">
      <c r="B17" s="4" t="s">
        <v>10</v>
      </c>
    </row>
    <row r="18" spans="2:2" ht="30" customHeight="1" x14ac:dyDescent="0.2">
      <c r="B18" s="4" t="s">
        <v>11</v>
      </c>
    </row>
    <row r="19" spans="2:2" ht="30" customHeight="1" x14ac:dyDescent="0.2">
      <c r="B19" s="4" t="s">
        <v>12</v>
      </c>
    </row>
    <row r="20" spans="2:2" ht="30" customHeight="1" x14ac:dyDescent="0.2">
      <c r="B20" s="4" t="s">
        <v>13</v>
      </c>
    </row>
    <row r="21" spans="2:2" ht="30" customHeight="1" x14ac:dyDescent="0.2">
      <c r="B21" s="4" t="s">
        <v>14</v>
      </c>
    </row>
    <row r="22" spans="2:2" ht="30" customHeight="1" x14ac:dyDescent="0.2">
      <c r="B22" s="4" t="s">
        <v>15</v>
      </c>
    </row>
    <row r="24" spans="2:2" x14ac:dyDescent="0.2">
      <c r="B24" s="6" t="s">
        <v>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F18"/>
  <sheetViews>
    <sheetView showGridLines="0" tabSelected="1" zoomScaleNormal="100" workbookViewId="0">
      <selection activeCell="D11" sqref="D11"/>
    </sheetView>
  </sheetViews>
  <sheetFormatPr baseColWidth="10" defaultColWidth="8.6640625" defaultRowHeight="24" x14ac:dyDescent="0.3"/>
  <cols>
    <col min="1" max="1" width="2" style="16" customWidth="1"/>
    <col min="2" max="2" width="3" style="16" customWidth="1"/>
    <col min="3" max="3" width="58" style="16" customWidth="1"/>
    <col min="4" max="4" width="84.83203125" style="16" customWidth="1"/>
    <col min="5" max="5" width="3" style="16" customWidth="1"/>
    <col min="6" max="6" width="45" style="16" customWidth="1"/>
    <col min="7" max="16384" width="8.6640625" style="16"/>
  </cols>
  <sheetData>
    <row r="2" spans="3:6" x14ac:dyDescent="0.3">
      <c r="C2" s="27" t="s">
        <v>17</v>
      </c>
      <c r="D2" s="27"/>
    </row>
    <row r="3" spans="3:6" x14ac:dyDescent="0.3">
      <c r="C3" s="28" t="s">
        <v>18</v>
      </c>
      <c r="D3" s="28"/>
    </row>
    <row r="5" spans="3:6" ht="19.5" customHeight="1" x14ac:dyDescent="0.3">
      <c r="C5" s="29" t="s">
        <v>19</v>
      </c>
      <c r="D5" s="29"/>
    </row>
    <row r="6" spans="3:6" ht="27.75" customHeight="1" x14ac:dyDescent="0.3">
      <c r="C6" s="17" t="s">
        <v>20</v>
      </c>
      <c r="D6" s="18">
        <v>46313</v>
      </c>
      <c r="F6" s="30" t="s">
        <v>21</v>
      </c>
    </row>
    <row r="7" spans="3:6" ht="27.75" customHeight="1" x14ac:dyDescent="0.3">
      <c r="C7" s="17" t="s">
        <v>22</v>
      </c>
      <c r="D7" s="18">
        <v>33146</v>
      </c>
      <c r="F7" s="30"/>
    </row>
    <row r="8" spans="3:6" ht="48" customHeight="1" x14ac:dyDescent="0.3">
      <c r="C8" s="17" t="s">
        <v>23</v>
      </c>
      <c r="D8" s="19">
        <v>40</v>
      </c>
      <c r="F8" s="30"/>
    </row>
    <row r="9" spans="3:6" ht="80" customHeight="1" x14ac:dyDescent="0.3">
      <c r="F9" s="30"/>
    </row>
    <row r="10" spans="3:6" ht="19.5" customHeight="1" x14ac:dyDescent="0.3">
      <c r="C10" s="29" t="s">
        <v>24</v>
      </c>
      <c r="D10" s="29"/>
    </row>
    <row r="11" spans="3:6" ht="52" customHeight="1" x14ac:dyDescent="0.3">
      <c r="C11" s="20" t="s">
        <v>25</v>
      </c>
      <c r="D11" s="21">
        <f>IF(DATE(YEAR(D6),MONTH(D7),DAY(D7))&gt;=D6,DATE(YEAR(D6),MONTH(D7),DAY(D7)),DATE(YEAR(D6)+1,MONTH(D7),DAY(D7)))</f>
        <v>46660</v>
      </c>
    </row>
    <row r="12" spans="3:6" ht="80" customHeight="1" x14ac:dyDescent="0.3">
      <c r="C12" s="20" t="s">
        <v>26</v>
      </c>
      <c r="D12" s="22">
        <f>D11-D6</f>
        <v>347</v>
      </c>
    </row>
    <row r="13" spans="3:6" ht="30" customHeight="1" x14ac:dyDescent="0.3">
      <c r="C13" s="20" t="s">
        <v>27</v>
      </c>
      <c r="D13" s="23">
        <f>D12/365</f>
        <v>0.9506849315068493</v>
      </c>
    </row>
    <row r="14" spans="3:6" ht="30" customHeight="1" x14ac:dyDescent="0.3">
      <c r="C14" s="20" t="s">
        <v>28</v>
      </c>
      <c r="D14" s="24">
        <f>D8*D13</f>
        <v>38.027397260273972</v>
      </c>
    </row>
    <row r="15" spans="3:6" ht="68" customHeight="1" x14ac:dyDescent="0.3">
      <c r="C15" s="20" t="s">
        <v>29</v>
      </c>
      <c r="D15" s="25">
        <f>MROUND(D14,0.25)</f>
        <v>38</v>
      </c>
    </row>
    <row r="17" spans="3:4" x14ac:dyDescent="0.3">
      <c r="C17" s="26" t="s">
        <v>30</v>
      </c>
      <c r="D17" s="26"/>
    </row>
    <row r="18" spans="3:4" x14ac:dyDescent="0.3">
      <c r="C18" s="26" t="s">
        <v>31</v>
      </c>
      <c r="D18" s="26"/>
    </row>
  </sheetData>
  <mergeCells count="7">
    <mergeCell ref="F6:F9"/>
    <mergeCell ref="C10:D10"/>
    <mergeCell ref="C17:D17"/>
    <mergeCell ref="C18:D18"/>
    <mergeCell ref="C2:D2"/>
    <mergeCell ref="C3:D3"/>
    <mergeCell ref="C5:D5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1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1" width="20" customWidth="1"/>
    <col min="2" max="3" width="12" customWidth="1"/>
    <col min="4" max="9" width="13" customWidth="1"/>
  </cols>
  <sheetData>
    <row r="1" spans="1:9" ht="20" x14ac:dyDescent="0.2">
      <c r="A1" s="31" t="s">
        <v>32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2">
      <c r="A2" s="32" t="s">
        <v>33</v>
      </c>
      <c r="B2" s="32"/>
      <c r="C2" s="32"/>
      <c r="D2" s="32"/>
      <c r="E2" s="32"/>
      <c r="F2" s="32"/>
      <c r="G2" s="32"/>
      <c r="H2" s="32"/>
      <c r="I2" s="32"/>
    </row>
    <row r="4" spans="1:9" ht="31.5" customHeight="1" x14ac:dyDescent="0.2">
      <c r="A4" s="7" t="s">
        <v>34</v>
      </c>
      <c r="B4" s="7" t="s">
        <v>35</v>
      </c>
      <c r="C4" s="7" t="s">
        <v>36</v>
      </c>
      <c r="D4" s="7" t="s">
        <v>37</v>
      </c>
      <c r="E4" s="7" t="s">
        <v>38</v>
      </c>
      <c r="F4" s="7" t="s">
        <v>39</v>
      </c>
      <c r="G4" s="7" t="s">
        <v>40</v>
      </c>
      <c r="H4" s="7" t="s">
        <v>41</v>
      </c>
      <c r="I4" s="7" t="s">
        <v>42</v>
      </c>
    </row>
    <row r="5" spans="1:9" x14ac:dyDescent="0.2">
      <c r="A5" s="8">
        <f>Calculator!$D$6+0</f>
        <v>46313</v>
      </c>
      <c r="B5" s="9">
        <f>A5-Calculator!$D$6</f>
        <v>0</v>
      </c>
      <c r="C5" s="10">
        <f t="shared" ref="C5:C68" si="0">B5/365</f>
        <v>0</v>
      </c>
      <c r="D5" s="11">
        <f t="shared" ref="D5:D68" si="1">MROUND(16*$C5,0.25)</f>
        <v>0</v>
      </c>
      <c r="E5" s="11">
        <f t="shared" ref="E5:E68" si="2">MROUND(20*$C5,0.25)</f>
        <v>0</v>
      </c>
      <c r="F5" s="11">
        <f t="shared" ref="F5:F68" si="3">MROUND(24*$C5,0.25)</f>
        <v>0</v>
      </c>
      <c r="G5" s="11">
        <f t="shared" ref="G5:G68" si="4">MROUND(32*$C5,0.25)</f>
        <v>0</v>
      </c>
      <c r="H5" s="11">
        <f t="shared" ref="H5:H68" si="5">MROUND(36*$C5,0.25)</f>
        <v>0</v>
      </c>
      <c r="I5" s="11">
        <f t="shared" ref="I5:I68" si="6">MROUND(40*$C5,0.25)</f>
        <v>0</v>
      </c>
    </row>
    <row r="6" spans="1:9" x14ac:dyDescent="0.2">
      <c r="A6" s="12">
        <f>Calculator!$D$6+1</f>
        <v>46314</v>
      </c>
      <c r="B6" s="13">
        <f>A6-Calculator!$D$6</f>
        <v>1</v>
      </c>
      <c r="C6" s="14">
        <f t="shared" si="0"/>
        <v>2.7397260273972603E-3</v>
      </c>
      <c r="D6" s="15">
        <f t="shared" si="1"/>
        <v>0</v>
      </c>
      <c r="E6" s="15">
        <f t="shared" si="2"/>
        <v>0</v>
      </c>
      <c r="F6" s="15">
        <f t="shared" si="3"/>
        <v>0</v>
      </c>
      <c r="G6" s="15">
        <f t="shared" si="4"/>
        <v>0</v>
      </c>
      <c r="H6" s="15">
        <f t="shared" si="5"/>
        <v>0</v>
      </c>
      <c r="I6" s="15">
        <f t="shared" si="6"/>
        <v>0</v>
      </c>
    </row>
    <row r="7" spans="1:9" x14ac:dyDescent="0.2">
      <c r="A7" s="8">
        <f>Calculator!$D$6+2</f>
        <v>46315</v>
      </c>
      <c r="B7" s="9">
        <f>A7-Calculator!$D$6</f>
        <v>2</v>
      </c>
      <c r="C7" s="10">
        <f t="shared" si="0"/>
        <v>5.4794520547945206E-3</v>
      </c>
      <c r="D7" s="11">
        <f t="shared" si="1"/>
        <v>0</v>
      </c>
      <c r="E7" s="11">
        <f t="shared" si="2"/>
        <v>0</v>
      </c>
      <c r="F7" s="11">
        <f t="shared" si="3"/>
        <v>0.25</v>
      </c>
      <c r="G7" s="11">
        <f t="shared" si="4"/>
        <v>0.25</v>
      </c>
      <c r="H7" s="11">
        <f t="shared" si="5"/>
        <v>0.25</v>
      </c>
      <c r="I7" s="11">
        <f t="shared" si="6"/>
        <v>0.25</v>
      </c>
    </row>
    <row r="8" spans="1:9" x14ac:dyDescent="0.2">
      <c r="A8" s="12">
        <f>Calculator!$D$6+3</f>
        <v>46316</v>
      </c>
      <c r="B8" s="13">
        <f>A8-Calculator!$D$6</f>
        <v>3</v>
      </c>
      <c r="C8" s="14">
        <f t="shared" si="0"/>
        <v>8.21917808219178E-3</v>
      </c>
      <c r="D8" s="15">
        <f t="shared" si="1"/>
        <v>0.25</v>
      </c>
      <c r="E8" s="15">
        <f t="shared" si="2"/>
        <v>0.25</v>
      </c>
      <c r="F8" s="15">
        <f t="shared" si="3"/>
        <v>0.25</v>
      </c>
      <c r="G8" s="15">
        <f t="shared" si="4"/>
        <v>0.25</v>
      </c>
      <c r="H8" s="15">
        <f t="shared" si="5"/>
        <v>0.25</v>
      </c>
      <c r="I8" s="15">
        <f t="shared" si="6"/>
        <v>0.25</v>
      </c>
    </row>
    <row r="9" spans="1:9" x14ac:dyDescent="0.2">
      <c r="A9" s="8">
        <f>Calculator!$D$6+4</f>
        <v>46317</v>
      </c>
      <c r="B9" s="9">
        <f>A9-Calculator!$D$6</f>
        <v>4</v>
      </c>
      <c r="C9" s="10">
        <f t="shared" si="0"/>
        <v>1.0958904109589041E-2</v>
      </c>
      <c r="D9" s="11">
        <f t="shared" si="1"/>
        <v>0.25</v>
      </c>
      <c r="E9" s="11">
        <f t="shared" si="2"/>
        <v>0.25</v>
      </c>
      <c r="F9" s="11">
        <f t="shared" si="3"/>
        <v>0.25</v>
      </c>
      <c r="G9" s="11">
        <f t="shared" si="4"/>
        <v>0.25</v>
      </c>
      <c r="H9" s="11">
        <f t="shared" si="5"/>
        <v>0.5</v>
      </c>
      <c r="I9" s="11">
        <f t="shared" si="6"/>
        <v>0.5</v>
      </c>
    </row>
    <row r="10" spans="1:9" x14ac:dyDescent="0.2">
      <c r="A10" s="12">
        <f>Calculator!$D$6+5</f>
        <v>46318</v>
      </c>
      <c r="B10" s="13">
        <f>A10-Calculator!$D$6</f>
        <v>5</v>
      </c>
      <c r="C10" s="14">
        <f t="shared" si="0"/>
        <v>1.3698630136986301E-2</v>
      </c>
      <c r="D10" s="15">
        <f t="shared" si="1"/>
        <v>0.25</v>
      </c>
      <c r="E10" s="15">
        <f t="shared" si="2"/>
        <v>0.25</v>
      </c>
      <c r="F10" s="15">
        <f t="shared" si="3"/>
        <v>0.25</v>
      </c>
      <c r="G10" s="15">
        <f t="shared" si="4"/>
        <v>0.5</v>
      </c>
      <c r="H10" s="15">
        <f t="shared" si="5"/>
        <v>0.5</v>
      </c>
      <c r="I10" s="15">
        <f t="shared" si="6"/>
        <v>0.5</v>
      </c>
    </row>
    <row r="11" spans="1:9" x14ac:dyDescent="0.2">
      <c r="A11" s="8">
        <f>Calculator!$D$6+6</f>
        <v>46319</v>
      </c>
      <c r="B11" s="9">
        <f>A11-Calculator!$D$6</f>
        <v>6</v>
      </c>
      <c r="C11" s="10">
        <f t="shared" si="0"/>
        <v>1.643835616438356E-2</v>
      </c>
      <c r="D11" s="11">
        <f t="shared" si="1"/>
        <v>0.25</v>
      </c>
      <c r="E11" s="11">
        <f t="shared" si="2"/>
        <v>0.25</v>
      </c>
      <c r="F11" s="11">
        <f t="shared" si="3"/>
        <v>0.5</v>
      </c>
      <c r="G11" s="11">
        <f t="shared" si="4"/>
        <v>0.5</v>
      </c>
      <c r="H11" s="11">
        <f t="shared" si="5"/>
        <v>0.5</v>
      </c>
      <c r="I11" s="11">
        <f t="shared" si="6"/>
        <v>0.75</v>
      </c>
    </row>
    <row r="12" spans="1:9" x14ac:dyDescent="0.2">
      <c r="A12" s="12">
        <f>Calculator!$D$6+7</f>
        <v>46320</v>
      </c>
      <c r="B12" s="13">
        <f>A12-Calculator!$D$6</f>
        <v>7</v>
      </c>
      <c r="C12" s="14">
        <f t="shared" si="0"/>
        <v>1.9178082191780823E-2</v>
      </c>
      <c r="D12" s="15">
        <f t="shared" si="1"/>
        <v>0.25</v>
      </c>
      <c r="E12" s="15">
        <f t="shared" si="2"/>
        <v>0.5</v>
      </c>
      <c r="F12" s="15">
        <f t="shared" si="3"/>
        <v>0.5</v>
      </c>
      <c r="G12" s="15">
        <f t="shared" si="4"/>
        <v>0.5</v>
      </c>
      <c r="H12" s="15">
        <f t="shared" si="5"/>
        <v>0.75</v>
      </c>
      <c r="I12" s="15">
        <f t="shared" si="6"/>
        <v>0.75</v>
      </c>
    </row>
    <row r="13" spans="1:9" x14ac:dyDescent="0.2">
      <c r="A13" s="8">
        <f>Calculator!$D$6+8</f>
        <v>46321</v>
      </c>
      <c r="B13" s="9">
        <f>A13-Calculator!$D$6</f>
        <v>8</v>
      </c>
      <c r="C13" s="10">
        <f t="shared" si="0"/>
        <v>2.1917808219178082E-2</v>
      </c>
      <c r="D13" s="11">
        <f t="shared" si="1"/>
        <v>0.25</v>
      </c>
      <c r="E13" s="11">
        <f t="shared" si="2"/>
        <v>0.5</v>
      </c>
      <c r="F13" s="11">
        <f t="shared" si="3"/>
        <v>0.5</v>
      </c>
      <c r="G13" s="11">
        <f t="shared" si="4"/>
        <v>0.75</v>
      </c>
      <c r="H13" s="11">
        <f t="shared" si="5"/>
        <v>0.75</v>
      </c>
      <c r="I13" s="11">
        <f t="shared" si="6"/>
        <v>1</v>
      </c>
    </row>
    <row r="14" spans="1:9" x14ac:dyDescent="0.2">
      <c r="A14" s="12">
        <f>Calculator!$D$6+9</f>
        <v>46322</v>
      </c>
      <c r="B14" s="13">
        <f>A14-Calculator!$D$6</f>
        <v>9</v>
      </c>
      <c r="C14" s="14">
        <f t="shared" si="0"/>
        <v>2.4657534246575342E-2</v>
      </c>
      <c r="D14" s="15">
        <f t="shared" si="1"/>
        <v>0.5</v>
      </c>
      <c r="E14" s="15">
        <f t="shared" si="2"/>
        <v>0.5</v>
      </c>
      <c r="F14" s="15">
        <f t="shared" si="3"/>
        <v>0.5</v>
      </c>
      <c r="G14" s="15">
        <f t="shared" si="4"/>
        <v>0.75</v>
      </c>
      <c r="H14" s="15">
        <f t="shared" si="5"/>
        <v>1</v>
      </c>
      <c r="I14" s="15">
        <f t="shared" si="6"/>
        <v>1</v>
      </c>
    </row>
    <row r="15" spans="1:9" x14ac:dyDescent="0.2">
      <c r="A15" s="8">
        <f>Calculator!$D$6+10</f>
        <v>46323</v>
      </c>
      <c r="B15" s="9">
        <f>A15-Calculator!$D$6</f>
        <v>10</v>
      </c>
      <c r="C15" s="10">
        <f t="shared" si="0"/>
        <v>2.7397260273972601E-2</v>
      </c>
      <c r="D15" s="11">
        <f t="shared" si="1"/>
        <v>0.5</v>
      </c>
      <c r="E15" s="11">
        <f t="shared" si="2"/>
        <v>0.5</v>
      </c>
      <c r="F15" s="11">
        <f t="shared" si="3"/>
        <v>0.75</v>
      </c>
      <c r="G15" s="11">
        <f t="shared" si="4"/>
        <v>1</v>
      </c>
      <c r="H15" s="11">
        <f t="shared" si="5"/>
        <v>1</v>
      </c>
      <c r="I15" s="11">
        <f t="shared" si="6"/>
        <v>1</v>
      </c>
    </row>
    <row r="16" spans="1:9" x14ac:dyDescent="0.2">
      <c r="A16" s="12">
        <f>Calculator!$D$6+11</f>
        <v>46324</v>
      </c>
      <c r="B16" s="13">
        <f>A16-Calculator!$D$6</f>
        <v>11</v>
      </c>
      <c r="C16" s="14">
        <f t="shared" si="0"/>
        <v>3.0136986301369864E-2</v>
      </c>
      <c r="D16" s="15">
        <f t="shared" si="1"/>
        <v>0.5</v>
      </c>
      <c r="E16" s="15">
        <f t="shared" si="2"/>
        <v>0.5</v>
      </c>
      <c r="F16" s="15">
        <f t="shared" si="3"/>
        <v>0.75</v>
      </c>
      <c r="G16" s="15">
        <f t="shared" si="4"/>
        <v>1</v>
      </c>
      <c r="H16" s="15">
        <f t="shared" si="5"/>
        <v>1</v>
      </c>
      <c r="I16" s="15">
        <f t="shared" si="6"/>
        <v>1.25</v>
      </c>
    </row>
    <row r="17" spans="1:9" x14ac:dyDescent="0.2">
      <c r="A17" s="8">
        <f>Calculator!$D$6+12</f>
        <v>46325</v>
      </c>
      <c r="B17" s="9">
        <f>A17-Calculator!$D$6</f>
        <v>12</v>
      </c>
      <c r="C17" s="10">
        <f t="shared" si="0"/>
        <v>3.287671232876712E-2</v>
      </c>
      <c r="D17" s="11">
        <f t="shared" si="1"/>
        <v>0.5</v>
      </c>
      <c r="E17" s="11">
        <f t="shared" si="2"/>
        <v>0.75</v>
      </c>
      <c r="F17" s="11">
        <f t="shared" si="3"/>
        <v>0.75</v>
      </c>
      <c r="G17" s="11">
        <f t="shared" si="4"/>
        <v>1</v>
      </c>
      <c r="H17" s="11">
        <f t="shared" si="5"/>
        <v>1.25</v>
      </c>
      <c r="I17" s="11">
        <f t="shared" si="6"/>
        <v>1.25</v>
      </c>
    </row>
    <row r="18" spans="1:9" x14ac:dyDescent="0.2">
      <c r="A18" s="12">
        <f>Calculator!$D$6+13</f>
        <v>46326</v>
      </c>
      <c r="B18" s="13">
        <f>A18-Calculator!$D$6</f>
        <v>13</v>
      </c>
      <c r="C18" s="14">
        <f t="shared" si="0"/>
        <v>3.5616438356164383E-2</v>
      </c>
      <c r="D18" s="15">
        <f t="shared" si="1"/>
        <v>0.5</v>
      </c>
      <c r="E18" s="15">
        <f t="shared" si="2"/>
        <v>0.75</v>
      </c>
      <c r="F18" s="15">
        <f t="shared" si="3"/>
        <v>0.75</v>
      </c>
      <c r="G18" s="15">
        <f t="shared" si="4"/>
        <v>1.25</v>
      </c>
      <c r="H18" s="15">
        <f t="shared" si="5"/>
        <v>1.25</v>
      </c>
      <c r="I18" s="15">
        <f t="shared" si="6"/>
        <v>1.5</v>
      </c>
    </row>
    <row r="19" spans="1:9" x14ac:dyDescent="0.2">
      <c r="A19" s="8">
        <f>Calculator!$D$6+14</f>
        <v>46327</v>
      </c>
      <c r="B19" s="9">
        <f>A19-Calculator!$D$6</f>
        <v>14</v>
      </c>
      <c r="C19" s="10">
        <f t="shared" si="0"/>
        <v>3.8356164383561646E-2</v>
      </c>
      <c r="D19" s="11">
        <f t="shared" si="1"/>
        <v>0.5</v>
      </c>
      <c r="E19" s="11">
        <f t="shared" si="2"/>
        <v>0.75</v>
      </c>
      <c r="F19" s="11">
        <f t="shared" si="3"/>
        <v>1</v>
      </c>
      <c r="G19" s="11">
        <f t="shared" si="4"/>
        <v>1.25</v>
      </c>
      <c r="H19" s="11">
        <f t="shared" si="5"/>
        <v>1.5</v>
      </c>
      <c r="I19" s="11">
        <f t="shared" si="6"/>
        <v>1.5</v>
      </c>
    </row>
    <row r="20" spans="1:9" x14ac:dyDescent="0.2">
      <c r="A20" s="12">
        <f>Calculator!$D$6+15</f>
        <v>46328</v>
      </c>
      <c r="B20" s="13">
        <f>A20-Calculator!$D$6</f>
        <v>15</v>
      </c>
      <c r="C20" s="14">
        <f t="shared" si="0"/>
        <v>4.1095890410958902E-2</v>
      </c>
      <c r="D20" s="15">
        <f t="shared" si="1"/>
        <v>0.75</v>
      </c>
      <c r="E20" s="15">
        <f t="shared" si="2"/>
        <v>0.75</v>
      </c>
      <c r="F20" s="15">
        <f t="shared" si="3"/>
        <v>1</v>
      </c>
      <c r="G20" s="15">
        <f t="shared" si="4"/>
        <v>1.25</v>
      </c>
      <c r="H20" s="15">
        <f t="shared" si="5"/>
        <v>1.5</v>
      </c>
      <c r="I20" s="15">
        <f t="shared" si="6"/>
        <v>1.75</v>
      </c>
    </row>
    <row r="21" spans="1:9" x14ac:dyDescent="0.2">
      <c r="A21" s="8">
        <f>Calculator!$D$6+16</f>
        <v>46329</v>
      </c>
      <c r="B21" s="9">
        <f>A21-Calculator!$D$6</f>
        <v>16</v>
      </c>
      <c r="C21" s="10">
        <f t="shared" si="0"/>
        <v>4.3835616438356165E-2</v>
      </c>
      <c r="D21" s="11">
        <f t="shared" si="1"/>
        <v>0.75</v>
      </c>
      <c r="E21" s="11">
        <f t="shared" si="2"/>
        <v>1</v>
      </c>
      <c r="F21" s="11">
        <f t="shared" si="3"/>
        <v>1</v>
      </c>
      <c r="G21" s="11">
        <f t="shared" si="4"/>
        <v>1.5</v>
      </c>
      <c r="H21" s="11">
        <f t="shared" si="5"/>
        <v>1.5</v>
      </c>
      <c r="I21" s="11">
        <f t="shared" si="6"/>
        <v>1.75</v>
      </c>
    </row>
    <row r="22" spans="1:9" x14ac:dyDescent="0.2">
      <c r="A22" s="12">
        <f>Calculator!$D$6+17</f>
        <v>46330</v>
      </c>
      <c r="B22" s="13">
        <f>A22-Calculator!$D$6</f>
        <v>17</v>
      </c>
      <c r="C22" s="14">
        <f t="shared" si="0"/>
        <v>4.6575342465753428E-2</v>
      </c>
      <c r="D22" s="15">
        <f t="shared" si="1"/>
        <v>0.75</v>
      </c>
      <c r="E22" s="15">
        <f t="shared" si="2"/>
        <v>1</v>
      </c>
      <c r="F22" s="15">
        <f t="shared" si="3"/>
        <v>1</v>
      </c>
      <c r="G22" s="15">
        <f t="shared" si="4"/>
        <v>1.5</v>
      </c>
      <c r="H22" s="15">
        <f t="shared" si="5"/>
        <v>1.75</v>
      </c>
      <c r="I22" s="15">
        <f t="shared" si="6"/>
        <v>1.75</v>
      </c>
    </row>
    <row r="23" spans="1:9" x14ac:dyDescent="0.2">
      <c r="A23" s="8">
        <f>Calculator!$D$6+18</f>
        <v>46331</v>
      </c>
      <c r="B23" s="9">
        <f>A23-Calculator!$D$6</f>
        <v>18</v>
      </c>
      <c r="C23" s="10">
        <f t="shared" si="0"/>
        <v>4.9315068493150684E-2</v>
      </c>
      <c r="D23" s="11">
        <f t="shared" si="1"/>
        <v>0.75</v>
      </c>
      <c r="E23" s="11">
        <f t="shared" si="2"/>
        <v>1</v>
      </c>
      <c r="F23" s="11">
        <f t="shared" si="3"/>
        <v>1.25</v>
      </c>
      <c r="G23" s="11">
        <f t="shared" si="4"/>
        <v>1.5</v>
      </c>
      <c r="H23" s="11">
        <f t="shared" si="5"/>
        <v>1.75</v>
      </c>
      <c r="I23" s="11">
        <f t="shared" si="6"/>
        <v>2</v>
      </c>
    </row>
    <row r="24" spans="1:9" x14ac:dyDescent="0.2">
      <c r="A24" s="12">
        <f>Calculator!$D$6+19</f>
        <v>46332</v>
      </c>
      <c r="B24" s="13">
        <f>A24-Calculator!$D$6</f>
        <v>19</v>
      </c>
      <c r="C24" s="14">
        <f t="shared" si="0"/>
        <v>5.2054794520547946E-2</v>
      </c>
      <c r="D24" s="15">
        <f t="shared" si="1"/>
        <v>0.75</v>
      </c>
      <c r="E24" s="15">
        <f t="shared" si="2"/>
        <v>1</v>
      </c>
      <c r="F24" s="15">
        <f t="shared" si="3"/>
        <v>1.25</v>
      </c>
      <c r="G24" s="15">
        <f t="shared" si="4"/>
        <v>1.75</v>
      </c>
      <c r="H24" s="15">
        <f t="shared" si="5"/>
        <v>1.75</v>
      </c>
      <c r="I24" s="15">
        <f t="shared" si="6"/>
        <v>2</v>
      </c>
    </row>
    <row r="25" spans="1:9" x14ac:dyDescent="0.2">
      <c r="A25" s="8">
        <f>Calculator!$D$6+20</f>
        <v>46333</v>
      </c>
      <c r="B25" s="9">
        <f>A25-Calculator!$D$6</f>
        <v>20</v>
      </c>
      <c r="C25" s="10">
        <f t="shared" si="0"/>
        <v>5.4794520547945202E-2</v>
      </c>
      <c r="D25" s="11">
        <f t="shared" si="1"/>
        <v>1</v>
      </c>
      <c r="E25" s="11">
        <f t="shared" si="2"/>
        <v>1</v>
      </c>
      <c r="F25" s="11">
        <f t="shared" si="3"/>
        <v>1.25</v>
      </c>
      <c r="G25" s="11">
        <f t="shared" si="4"/>
        <v>1.75</v>
      </c>
      <c r="H25" s="11">
        <f t="shared" si="5"/>
        <v>2</v>
      </c>
      <c r="I25" s="11">
        <f t="shared" si="6"/>
        <v>2.25</v>
      </c>
    </row>
    <row r="26" spans="1:9" x14ac:dyDescent="0.2">
      <c r="A26" s="12">
        <f>Calculator!$D$6+21</f>
        <v>46334</v>
      </c>
      <c r="B26" s="13">
        <f>A26-Calculator!$D$6</f>
        <v>21</v>
      </c>
      <c r="C26" s="14">
        <f t="shared" si="0"/>
        <v>5.7534246575342465E-2</v>
      </c>
      <c r="D26" s="15">
        <f t="shared" si="1"/>
        <v>1</v>
      </c>
      <c r="E26" s="15">
        <f t="shared" si="2"/>
        <v>1.25</v>
      </c>
      <c r="F26" s="15">
        <f t="shared" si="3"/>
        <v>1.5</v>
      </c>
      <c r="G26" s="15">
        <f t="shared" si="4"/>
        <v>1.75</v>
      </c>
      <c r="H26" s="15">
        <f t="shared" si="5"/>
        <v>2</v>
      </c>
      <c r="I26" s="15">
        <f t="shared" si="6"/>
        <v>2.25</v>
      </c>
    </row>
    <row r="27" spans="1:9" x14ac:dyDescent="0.2">
      <c r="A27" s="8">
        <f>Calculator!$D$6+22</f>
        <v>46335</v>
      </c>
      <c r="B27" s="9">
        <f>A27-Calculator!$D$6</f>
        <v>22</v>
      </c>
      <c r="C27" s="10">
        <f t="shared" si="0"/>
        <v>6.0273972602739728E-2</v>
      </c>
      <c r="D27" s="11">
        <f t="shared" si="1"/>
        <v>1</v>
      </c>
      <c r="E27" s="11">
        <f t="shared" si="2"/>
        <v>1.25</v>
      </c>
      <c r="F27" s="11">
        <f t="shared" si="3"/>
        <v>1.5</v>
      </c>
      <c r="G27" s="11">
        <f t="shared" si="4"/>
        <v>2</v>
      </c>
      <c r="H27" s="11">
        <f t="shared" si="5"/>
        <v>2.25</v>
      </c>
      <c r="I27" s="11">
        <f t="shared" si="6"/>
        <v>2.5</v>
      </c>
    </row>
    <row r="28" spans="1:9" x14ac:dyDescent="0.2">
      <c r="A28" s="12">
        <f>Calculator!$D$6+23</f>
        <v>46336</v>
      </c>
      <c r="B28" s="13">
        <f>A28-Calculator!$D$6</f>
        <v>23</v>
      </c>
      <c r="C28" s="14">
        <f t="shared" si="0"/>
        <v>6.3013698630136991E-2</v>
      </c>
      <c r="D28" s="15">
        <f t="shared" si="1"/>
        <v>1</v>
      </c>
      <c r="E28" s="15">
        <f t="shared" si="2"/>
        <v>1.25</v>
      </c>
      <c r="F28" s="15">
        <f t="shared" si="3"/>
        <v>1.5</v>
      </c>
      <c r="G28" s="15">
        <f t="shared" si="4"/>
        <v>2</v>
      </c>
      <c r="H28" s="15">
        <f t="shared" si="5"/>
        <v>2.25</v>
      </c>
      <c r="I28" s="15">
        <f t="shared" si="6"/>
        <v>2.5</v>
      </c>
    </row>
    <row r="29" spans="1:9" x14ac:dyDescent="0.2">
      <c r="A29" s="8">
        <f>Calculator!$D$6+24</f>
        <v>46337</v>
      </c>
      <c r="B29" s="9">
        <f>A29-Calculator!$D$6</f>
        <v>24</v>
      </c>
      <c r="C29" s="10">
        <f t="shared" si="0"/>
        <v>6.575342465753424E-2</v>
      </c>
      <c r="D29" s="11">
        <f t="shared" si="1"/>
        <v>1</v>
      </c>
      <c r="E29" s="11">
        <f t="shared" si="2"/>
        <v>1.25</v>
      </c>
      <c r="F29" s="11">
        <f t="shared" si="3"/>
        <v>1.5</v>
      </c>
      <c r="G29" s="11">
        <f t="shared" si="4"/>
        <v>2</v>
      </c>
      <c r="H29" s="11">
        <f t="shared" si="5"/>
        <v>2.25</v>
      </c>
      <c r="I29" s="11">
        <f t="shared" si="6"/>
        <v>2.75</v>
      </c>
    </row>
    <row r="30" spans="1:9" x14ac:dyDescent="0.2">
      <c r="A30" s="12">
        <f>Calculator!$D$6+25</f>
        <v>46338</v>
      </c>
      <c r="B30" s="13">
        <f>A30-Calculator!$D$6</f>
        <v>25</v>
      </c>
      <c r="C30" s="14">
        <f t="shared" si="0"/>
        <v>6.8493150684931503E-2</v>
      </c>
      <c r="D30" s="15">
        <f t="shared" si="1"/>
        <v>1</v>
      </c>
      <c r="E30" s="15">
        <f t="shared" si="2"/>
        <v>1.25</v>
      </c>
      <c r="F30" s="15">
        <f t="shared" si="3"/>
        <v>1.75</v>
      </c>
      <c r="G30" s="15">
        <f t="shared" si="4"/>
        <v>2.25</v>
      </c>
      <c r="H30" s="15">
        <f t="shared" si="5"/>
        <v>2.5</v>
      </c>
      <c r="I30" s="15">
        <f t="shared" si="6"/>
        <v>2.75</v>
      </c>
    </row>
    <row r="31" spans="1:9" x14ac:dyDescent="0.2">
      <c r="A31" s="8">
        <f>Calculator!$D$6+26</f>
        <v>46339</v>
      </c>
      <c r="B31" s="9">
        <f>A31-Calculator!$D$6</f>
        <v>26</v>
      </c>
      <c r="C31" s="10">
        <f t="shared" si="0"/>
        <v>7.1232876712328766E-2</v>
      </c>
      <c r="D31" s="11">
        <f t="shared" si="1"/>
        <v>1.25</v>
      </c>
      <c r="E31" s="11">
        <f t="shared" si="2"/>
        <v>1.5</v>
      </c>
      <c r="F31" s="11">
        <f t="shared" si="3"/>
        <v>1.75</v>
      </c>
      <c r="G31" s="11">
        <f t="shared" si="4"/>
        <v>2.25</v>
      </c>
      <c r="H31" s="11">
        <f t="shared" si="5"/>
        <v>2.5</v>
      </c>
      <c r="I31" s="11">
        <f t="shared" si="6"/>
        <v>2.75</v>
      </c>
    </row>
    <row r="32" spans="1:9" x14ac:dyDescent="0.2">
      <c r="A32" s="12">
        <f>Calculator!$D$6+27</f>
        <v>46340</v>
      </c>
      <c r="B32" s="13">
        <f>A32-Calculator!$D$6</f>
        <v>27</v>
      </c>
      <c r="C32" s="14">
        <f t="shared" si="0"/>
        <v>7.3972602739726029E-2</v>
      </c>
      <c r="D32" s="15">
        <f t="shared" si="1"/>
        <v>1.25</v>
      </c>
      <c r="E32" s="15">
        <f t="shared" si="2"/>
        <v>1.5</v>
      </c>
      <c r="F32" s="15">
        <f t="shared" si="3"/>
        <v>1.75</v>
      </c>
      <c r="G32" s="15">
        <f t="shared" si="4"/>
        <v>2.25</v>
      </c>
      <c r="H32" s="15">
        <f t="shared" si="5"/>
        <v>2.75</v>
      </c>
      <c r="I32" s="15">
        <f t="shared" si="6"/>
        <v>3</v>
      </c>
    </row>
    <row r="33" spans="1:9" x14ac:dyDescent="0.2">
      <c r="A33" s="8">
        <f>Calculator!$D$6+28</f>
        <v>46341</v>
      </c>
      <c r="B33" s="9">
        <f>A33-Calculator!$D$6</f>
        <v>28</v>
      </c>
      <c r="C33" s="10">
        <f t="shared" si="0"/>
        <v>7.6712328767123292E-2</v>
      </c>
      <c r="D33" s="11">
        <f t="shared" si="1"/>
        <v>1.25</v>
      </c>
      <c r="E33" s="11">
        <f t="shared" si="2"/>
        <v>1.5</v>
      </c>
      <c r="F33" s="11">
        <f t="shared" si="3"/>
        <v>1.75</v>
      </c>
      <c r="G33" s="11">
        <f t="shared" si="4"/>
        <v>2.5</v>
      </c>
      <c r="H33" s="11">
        <f t="shared" si="5"/>
        <v>2.75</v>
      </c>
      <c r="I33" s="11">
        <f t="shared" si="6"/>
        <v>3</v>
      </c>
    </row>
    <row r="34" spans="1:9" x14ac:dyDescent="0.2">
      <c r="A34" s="12">
        <f>Calculator!$D$6+29</f>
        <v>46342</v>
      </c>
      <c r="B34" s="13">
        <f>A34-Calculator!$D$6</f>
        <v>29</v>
      </c>
      <c r="C34" s="14">
        <f t="shared" si="0"/>
        <v>7.9452054794520555E-2</v>
      </c>
      <c r="D34" s="15">
        <f t="shared" si="1"/>
        <v>1.25</v>
      </c>
      <c r="E34" s="15">
        <f t="shared" si="2"/>
        <v>1.5</v>
      </c>
      <c r="F34" s="15">
        <f t="shared" si="3"/>
        <v>2</v>
      </c>
      <c r="G34" s="15">
        <f t="shared" si="4"/>
        <v>2.5</v>
      </c>
      <c r="H34" s="15">
        <f t="shared" si="5"/>
        <v>2.75</v>
      </c>
      <c r="I34" s="15">
        <f t="shared" si="6"/>
        <v>3.25</v>
      </c>
    </row>
    <row r="35" spans="1:9" x14ac:dyDescent="0.2">
      <c r="A35" s="8">
        <f>Calculator!$D$6+30</f>
        <v>46343</v>
      </c>
      <c r="B35" s="9">
        <f>A35-Calculator!$D$6</f>
        <v>30</v>
      </c>
      <c r="C35" s="10">
        <f t="shared" si="0"/>
        <v>8.2191780821917804E-2</v>
      </c>
      <c r="D35" s="11">
        <f t="shared" si="1"/>
        <v>1.25</v>
      </c>
      <c r="E35" s="11">
        <f t="shared" si="2"/>
        <v>1.75</v>
      </c>
      <c r="F35" s="11">
        <f t="shared" si="3"/>
        <v>2</v>
      </c>
      <c r="G35" s="11">
        <f t="shared" si="4"/>
        <v>2.75</v>
      </c>
      <c r="H35" s="11">
        <f t="shared" si="5"/>
        <v>3</v>
      </c>
      <c r="I35" s="11">
        <f t="shared" si="6"/>
        <v>3.25</v>
      </c>
    </row>
    <row r="36" spans="1:9" x14ac:dyDescent="0.2">
      <c r="A36" s="12">
        <f>Calculator!$D$6+31</f>
        <v>46344</v>
      </c>
      <c r="B36" s="13">
        <f>A36-Calculator!$D$6</f>
        <v>31</v>
      </c>
      <c r="C36" s="14">
        <f t="shared" si="0"/>
        <v>8.4931506849315067E-2</v>
      </c>
      <c r="D36" s="15">
        <f t="shared" si="1"/>
        <v>1.25</v>
      </c>
      <c r="E36" s="15">
        <f t="shared" si="2"/>
        <v>1.75</v>
      </c>
      <c r="F36" s="15">
        <f t="shared" si="3"/>
        <v>2</v>
      </c>
      <c r="G36" s="15">
        <f t="shared" si="4"/>
        <v>2.75</v>
      </c>
      <c r="H36" s="15">
        <f t="shared" si="5"/>
        <v>3</v>
      </c>
      <c r="I36" s="15">
        <f t="shared" si="6"/>
        <v>3.5</v>
      </c>
    </row>
    <row r="37" spans="1:9" x14ac:dyDescent="0.2">
      <c r="A37" s="8">
        <f>Calculator!$D$6+32</f>
        <v>46345</v>
      </c>
      <c r="B37" s="9">
        <f>A37-Calculator!$D$6</f>
        <v>32</v>
      </c>
      <c r="C37" s="10">
        <f t="shared" si="0"/>
        <v>8.7671232876712329E-2</v>
      </c>
      <c r="D37" s="11">
        <f t="shared" si="1"/>
        <v>1.5</v>
      </c>
      <c r="E37" s="11">
        <f t="shared" si="2"/>
        <v>1.75</v>
      </c>
      <c r="F37" s="11">
        <f t="shared" si="3"/>
        <v>2</v>
      </c>
      <c r="G37" s="11">
        <f t="shared" si="4"/>
        <v>2.75</v>
      </c>
      <c r="H37" s="11">
        <f t="shared" si="5"/>
        <v>3.25</v>
      </c>
      <c r="I37" s="11">
        <f t="shared" si="6"/>
        <v>3.5</v>
      </c>
    </row>
    <row r="38" spans="1:9" x14ac:dyDescent="0.2">
      <c r="A38" s="12">
        <f>Calculator!$D$6+33</f>
        <v>46346</v>
      </c>
      <c r="B38" s="13">
        <f>A38-Calculator!$D$6</f>
        <v>33</v>
      </c>
      <c r="C38" s="14">
        <f t="shared" si="0"/>
        <v>9.0410958904109592E-2</v>
      </c>
      <c r="D38" s="15">
        <f t="shared" si="1"/>
        <v>1.5</v>
      </c>
      <c r="E38" s="15">
        <f t="shared" si="2"/>
        <v>1.75</v>
      </c>
      <c r="F38" s="15">
        <f t="shared" si="3"/>
        <v>2.25</v>
      </c>
      <c r="G38" s="15">
        <f t="shared" si="4"/>
        <v>3</v>
      </c>
      <c r="H38" s="15">
        <f t="shared" si="5"/>
        <v>3.25</v>
      </c>
      <c r="I38" s="15">
        <f t="shared" si="6"/>
        <v>3.5</v>
      </c>
    </row>
    <row r="39" spans="1:9" x14ac:dyDescent="0.2">
      <c r="A39" s="8">
        <f>Calculator!$D$6+34</f>
        <v>46347</v>
      </c>
      <c r="B39" s="9">
        <f>A39-Calculator!$D$6</f>
        <v>34</v>
      </c>
      <c r="C39" s="10">
        <f t="shared" si="0"/>
        <v>9.3150684931506855E-2</v>
      </c>
      <c r="D39" s="11">
        <f t="shared" si="1"/>
        <v>1.5</v>
      </c>
      <c r="E39" s="11">
        <f t="shared" si="2"/>
        <v>1.75</v>
      </c>
      <c r="F39" s="11">
        <f t="shared" si="3"/>
        <v>2.25</v>
      </c>
      <c r="G39" s="11">
        <f t="shared" si="4"/>
        <v>3</v>
      </c>
      <c r="H39" s="11">
        <f t="shared" si="5"/>
        <v>3.25</v>
      </c>
      <c r="I39" s="11">
        <f t="shared" si="6"/>
        <v>3.75</v>
      </c>
    </row>
    <row r="40" spans="1:9" x14ac:dyDescent="0.2">
      <c r="A40" s="12">
        <f>Calculator!$D$6+35</f>
        <v>46348</v>
      </c>
      <c r="B40" s="13">
        <f>A40-Calculator!$D$6</f>
        <v>35</v>
      </c>
      <c r="C40" s="14">
        <f t="shared" si="0"/>
        <v>9.5890410958904104E-2</v>
      </c>
      <c r="D40" s="15">
        <f t="shared" si="1"/>
        <v>1.5</v>
      </c>
      <c r="E40" s="15">
        <f t="shared" si="2"/>
        <v>2</v>
      </c>
      <c r="F40" s="15">
        <f t="shared" si="3"/>
        <v>2.25</v>
      </c>
      <c r="G40" s="15">
        <f t="shared" si="4"/>
        <v>3</v>
      </c>
      <c r="H40" s="15">
        <f t="shared" si="5"/>
        <v>3.5</v>
      </c>
      <c r="I40" s="15">
        <f t="shared" si="6"/>
        <v>3.75</v>
      </c>
    </row>
    <row r="41" spans="1:9" x14ac:dyDescent="0.2">
      <c r="A41" s="8">
        <f>Calculator!$D$6+36</f>
        <v>46349</v>
      </c>
      <c r="B41" s="9">
        <f>A41-Calculator!$D$6</f>
        <v>36</v>
      </c>
      <c r="C41" s="10">
        <f t="shared" si="0"/>
        <v>9.8630136986301367E-2</v>
      </c>
      <c r="D41" s="11">
        <f t="shared" si="1"/>
        <v>1.5</v>
      </c>
      <c r="E41" s="11">
        <f t="shared" si="2"/>
        <v>2</v>
      </c>
      <c r="F41" s="11">
        <f t="shared" si="3"/>
        <v>2.25</v>
      </c>
      <c r="G41" s="11">
        <f t="shared" si="4"/>
        <v>3.25</v>
      </c>
      <c r="H41" s="11">
        <f t="shared" si="5"/>
        <v>3.5</v>
      </c>
      <c r="I41" s="11">
        <f t="shared" si="6"/>
        <v>4</v>
      </c>
    </row>
    <row r="42" spans="1:9" x14ac:dyDescent="0.2">
      <c r="A42" s="12">
        <f>Calculator!$D$6+37</f>
        <v>46350</v>
      </c>
      <c r="B42" s="13">
        <f>A42-Calculator!$D$6</f>
        <v>37</v>
      </c>
      <c r="C42" s="14">
        <f t="shared" si="0"/>
        <v>0.10136986301369863</v>
      </c>
      <c r="D42" s="15">
        <f t="shared" si="1"/>
        <v>1.5</v>
      </c>
      <c r="E42" s="15">
        <f t="shared" si="2"/>
        <v>2</v>
      </c>
      <c r="F42" s="15">
        <f t="shared" si="3"/>
        <v>2.5</v>
      </c>
      <c r="G42" s="15">
        <f t="shared" si="4"/>
        <v>3.25</v>
      </c>
      <c r="H42" s="15">
        <f t="shared" si="5"/>
        <v>3.75</v>
      </c>
      <c r="I42" s="15">
        <f t="shared" si="6"/>
        <v>4</v>
      </c>
    </row>
    <row r="43" spans="1:9" x14ac:dyDescent="0.2">
      <c r="A43" s="8">
        <f>Calculator!$D$6+38</f>
        <v>46351</v>
      </c>
      <c r="B43" s="9">
        <f>A43-Calculator!$D$6</f>
        <v>38</v>
      </c>
      <c r="C43" s="10">
        <f t="shared" si="0"/>
        <v>0.10410958904109589</v>
      </c>
      <c r="D43" s="11">
        <f t="shared" si="1"/>
        <v>1.75</v>
      </c>
      <c r="E43" s="11">
        <f t="shared" si="2"/>
        <v>2</v>
      </c>
      <c r="F43" s="11">
        <f t="shared" si="3"/>
        <v>2.5</v>
      </c>
      <c r="G43" s="11">
        <f t="shared" si="4"/>
        <v>3.25</v>
      </c>
      <c r="H43" s="11">
        <f t="shared" si="5"/>
        <v>3.75</v>
      </c>
      <c r="I43" s="11">
        <f t="shared" si="6"/>
        <v>4.25</v>
      </c>
    </row>
    <row r="44" spans="1:9" x14ac:dyDescent="0.2">
      <c r="A44" s="12">
        <f>Calculator!$D$6+39</f>
        <v>46352</v>
      </c>
      <c r="B44" s="13">
        <f>A44-Calculator!$D$6</f>
        <v>39</v>
      </c>
      <c r="C44" s="14">
        <f t="shared" si="0"/>
        <v>0.10684931506849316</v>
      </c>
      <c r="D44" s="15">
        <f t="shared" si="1"/>
        <v>1.75</v>
      </c>
      <c r="E44" s="15">
        <f t="shared" si="2"/>
        <v>2.25</v>
      </c>
      <c r="F44" s="15">
        <f t="shared" si="3"/>
        <v>2.5</v>
      </c>
      <c r="G44" s="15">
        <f t="shared" si="4"/>
        <v>3.5</v>
      </c>
      <c r="H44" s="15">
        <f t="shared" si="5"/>
        <v>3.75</v>
      </c>
      <c r="I44" s="15">
        <f t="shared" si="6"/>
        <v>4.25</v>
      </c>
    </row>
    <row r="45" spans="1:9" x14ac:dyDescent="0.2">
      <c r="A45" s="8">
        <f>Calculator!$D$6+40</f>
        <v>46353</v>
      </c>
      <c r="B45" s="9">
        <f>A45-Calculator!$D$6</f>
        <v>40</v>
      </c>
      <c r="C45" s="10">
        <f t="shared" si="0"/>
        <v>0.1095890410958904</v>
      </c>
      <c r="D45" s="11">
        <f t="shared" si="1"/>
        <v>1.75</v>
      </c>
      <c r="E45" s="11">
        <f t="shared" si="2"/>
        <v>2.25</v>
      </c>
      <c r="F45" s="11">
        <f t="shared" si="3"/>
        <v>2.75</v>
      </c>
      <c r="G45" s="11">
        <f t="shared" si="4"/>
        <v>3.5</v>
      </c>
      <c r="H45" s="11">
        <f t="shared" si="5"/>
        <v>4</v>
      </c>
      <c r="I45" s="11">
        <f t="shared" si="6"/>
        <v>4.5</v>
      </c>
    </row>
    <row r="46" spans="1:9" x14ac:dyDescent="0.2">
      <c r="A46" s="12">
        <f>Calculator!$D$6+41</f>
        <v>46354</v>
      </c>
      <c r="B46" s="13">
        <f>A46-Calculator!$D$6</f>
        <v>41</v>
      </c>
      <c r="C46" s="14">
        <f t="shared" si="0"/>
        <v>0.11232876712328767</v>
      </c>
      <c r="D46" s="15">
        <f t="shared" si="1"/>
        <v>1.75</v>
      </c>
      <c r="E46" s="15">
        <f t="shared" si="2"/>
        <v>2.25</v>
      </c>
      <c r="F46" s="15">
        <f t="shared" si="3"/>
        <v>2.75</v>
      </c>
      <c r="G46" s="15">
        <f t="shared" si="4"/>
        <v>3.5</v>
      </c>
      <c r="H46" s="15">
        <f t="shared" si="5"/>
        <v>4</v>
      </c>
      <c r="I46" s="15">
        <f t="shared" si="6"/>
        <v>4.5</v>
      </c>
    </row>
    <row r="47" spans="1:9" x14ac:dyDescent="0.2">
      <c r="A47" s="8">
        <f>Calculator!$D$6+42</f>
        <v>46355</v>
      </c>
      <c r="B47" s="9">
        <f>A47-Calculator!$D$6</f>
        <v>42</v>
      </c>
      <c r="C47" s="10">
        <f t="shared" si="0"/>
        <v>0.11506849315068493</v>
      </c>
      <c r="D47" s="11">
        <f t="shared" si="1"/>
        <v>1.75</v>
      </c>
      <c r="E47" s="11">
        <f t="shared" si="2"/>
        <v>2.25</v>
      </c>
      <c r="F47" s="11">
        <f t="shared" si="3"/>
        <v>2.75</v>
      </c>
      <c r="G47" s="11">
        <f t="shared" si="4"/>
        <v>3.75</v>
      </c>
      <c r="H47" s="11">
        <f t="shared" si="5"/>
        <v>4.25</v>
      </c>
      <c r="I47" s="11">
        <f t="shared" si="6"/>
        <v>4.5</v>
      </c>
    </row>
    <row r="48" spans="1:9" x14ac:dyDescent="0.2">
      <c r="A48" s="12">
        <f>Calculator!$D$6+43</f>
        <v>46356</v>
      </c>
      <c r="B48" s="13">
        <f>A48-Calculator!$D$6</f>
        <v>43</v>
      </c>
      <c r="C48" s="14">
        <f t="shared" si="0"/>
        <v>0.11780821917808219</v>
      </c>
      <c r="D48" s="15">
        <f t="shared" si="1"/>
        <v>2</v>
      </c>
      <c r="E48" s="15">
        <f t="shared" si="2"/>
        <v>2.25</v>
      </c>
      <c r="F48" s="15">
        <f t="shared" si="3"/>
        <v>2.75</v>
      </c>
      <c r="G48" s="15">
        <f t="shared" si="4"/>
        <v>3.75</v>
      </c>
      <c r="H48" s="15">
        <f t="shared" si="5"/>
        <v>4.25</v>
      </c>
      <c r="I48" s="15">
        <f t="shared" si="6"/>
        <v>4.75</v>
      </c>
    </row>
    <row r="49" spans="1:9" x14ac:dyDescent="0.2">
      <c r="A49" s="8">
        <f>Calculator!$D$6+44</f>
        <v>46357</v>
      </c>
      <c r="B49" s="9">
        <f>A49-Calculator!$D$6</f>
        <v>44</v>
      </c>
      <c r="C49" s="10">
        <f t="shared" si="0"/>
        <v>0.12054794520547946</v>
      </c>
      <c r="D49" s="11">
        <f t="shared" si="1"/>
        <v>2</v>
      </c>
      <c r="E49" s="11">
        <f t="shared" si="2"/>
        <v>2.5</v>
      </c>
      <c r="F49" s="11">
        <f t="shared" si="3"/>
        <v>3</v>
      </c>
      <c r="G49" s="11">
        <f t="shared" si="4"/>
        <v>3.75</v>
      </c>
      <c r="H49" s="11">
        <f t="shared" si="5"/>
        <v>4.25</v>
      </c>
      <c r="I49" s="11">
        <f t="shared" si="6"/>
        <v>4.75</v>
      </c>
    </row>
    <row r="50" spans="1:9" x14ac:dyDescent="0.2">
      <c r="A50" s="12">
        <f>Calculator!$D$6+45</f>
        <v>46358</v>
      </c>
      <c r="B50" s="13">
        <f>A50-Calculator!$D$6</f>
        <v>45</v>
      </c>
      <c r="C50" s="14">
        <f t="shared" si="0"/>
        <v>0.12328767123287671</v>
      </c>
      <c r="D50" s="15">
        <f t="shared" si="1"/>
        <v>2</v>
      </c>
      <c r="E50" s="15">
        <f t="shared" si="2"/>
        <v>2.5</v>
      </c>
      <c r="F50" s="15">
        <f t="shared" si="3"/>
        <v>3</v>
      </c>
      <c r="G50" s="15">
        <f t="shared" si="4"/>
        <v>4</v>
      </c>
      <c r="H50" s="15">
        <f t="shared" si="5"/>
        <v>4.5</v>
      </c>
      <c r="I50" s="15">
        <f t="shared" si="6"/>
        <v>5</v>
      </c>
    </row>
    <row r="51" spans="1:9" x14ac:dyDescent="0.2">
      <c r="A51" s="8">
        <f>Calculator!$D$6+46</f>
        <v>46359</v>
      </c>
      <c r="B51" s="9">
        <f>A51-Calculator!$D$6</f>
        <v>46</v>
      </c>
      <c r="C51" s="10">
        <f t="shared" si="0"/>
        <v>0.12602739726027398</v>
      </c>
      <c r="D51" s="11">
        <f t="shared" si="1"/>
        <v>2</v>
      </c>
      <c r="E51" s="11">
        <f t="shared" si="2"/>
        <v>2.5</v>
      </c>
      <c r="F51" s="11">
        <f t="shared" si="3"/>
        <v>3</v>
      </c>
      <c r="G51" s="11">
        <f t="shared" si="4"/>
        <v>4</v>
      </c>
      <c r="H51" s="11">
        <f t="shared" si="5"/>
        <v>4.5</v>
      </c>
      <c r="I51" s="11">
        <f t="shared" si="6"/>
        <v>5</v>
      </c>
    </row>
    <row r="52" spans="1:9" x14ac:dyDescent="0.2">
      <c r="A52" s="12">
        <f>Calculator!$D$6+47</f>
        <v>46360</v>
      </c>
      <c r="B52" s="13">
        <f>A52-Calculator!$D$6</f>
        <v>47</v>
      </c>
      <c r="C52" s="14">
        <f t="shared" si="0"/>
        <v>0.12876712328767123</v>
      </c>
      <c r="D52" s="15">
        <f t="shared" si="1"/>
        <v>2</v>
      </c>
      <c r="E52" s="15">
        <f t="shared" si="2"/>
        <v>2.5</v>
      </c>
      <c r="F52" s="15">
        <f t="shared" si="3"/>
        <v>3</v>
      </c>
      <c r="G52" s="15">
        <f t="shared" si="4"/>
        <v>4</v>
      </c>
      <c r="H52" s="15">
        <f t="shared" si="5"/>
        <v>4.75</v>
      </c>
      <c r="I52" s="15">
        <f t="shared" si="6"/>
        <v>5.25</v>
      </c>
    </row>
    <row r="53" spans="1:9" x14ac:dyDescent="0.2">
      <c r="A53" s="8">
        <f>Calculator!$D$6+48</f>
        <v>46361</v>
      </c>
      <c r="B53" s="9">
        <f>A53-Calculator!$D$6</f>
        <v>48</v>
      </c>
      <c r="C53" s="10">
        <f t="shared" si="0"/>
        <v>0.13150684931506848</v>
      </c>
      <c r="D53" s="11">
        <f t="shared" si="1"/>
        <v>2</v>
      </c>
      <c r="E53" s="11">
        <f t="shared" si="2"/>
        <v>2.75</v>
      </c>
      <c r="F53" s="11">
        <f t="shared" si="3"/>
        <v>3.25</v>
      </c>
      <c r="G53" s="11">
        <f t="shared" si="4"/>
        <v>4.25</v>
      </c>
      <c r="H53" s="11">
        <f t="shared" si="5"/>
        <v>4.75</v>
      </c>
      <c r="I53" s="11">
        <f t="shared" si="6"/>
        <v>5.25</v>
      </c>
    </row>
    <row r="54" spans="1:9" x14ac:dyDescent="0.2">
      <c r="A54" s="12">
        <f>Calculator!$D$6+49</f>
        <v>46362</v>
      </c>
      <c r="B54" s="13">
        <f>A54-Calculator!$D$6</f>
        <v>49</v>
      </c>
      <c r="C54" s="14">
        <f t="shared" si="0"/>
        <v>0.13424657534246576</v>
      </c>
      <c r="D54" s="15">
        <f t="shared" si="1"/>
        <v>2.25</v>
      </c>
      <c r="E54" s="15">
        <f t="shared" si="2"/>
        <v>2.75</v>
      </c>
      <c r="F54" s="15">
        <f t="shared" si="3"/>
        <v>3.25</v>
      </c>
      <c r="G54" s="15">
        <f t="shared" si="4"/>
        <v>4.25</v>
      </c>
      <c r="H54" s="15">
        <f t="shared" si="5"/>
        <v>4.75</v>
      </c>
      <c r="I54" s="15">
        <f t="shared" si="6"/>
        <v>5.25</v>
      </c>
    </row>
    <row r="55" spans="1:9" x14ac:dyDescent="0.2">
      <c r="A55" s="8">
        <f>Calculator!$D$6+50</f>
        <v>46363</v>
      </c>
      <c r="B55" s="9">
        <f>A55-Calculator!$D$6</f>
        <v>50</v>
      </c>
      <c r="C55" s="10">
        <f t="shared" si="0"/>
        <v>0.13698630136986301</v>
      </c>
      <c r="D55" s="11">
        <f t="shared" si="1"/>
        <v>2.25</v>
      </c>
      <c r="E55" s="11">
        <f t="shared" si="2"/>
        <v>2.75</v>
      </c>
      <c r="F55" s="11">
        <f t="shared" si="3"/>
        <v>3.25</v>
      </c>
      <c r="G55" s="11">
        <f t="shared" si="4"/>
        <v>4.5</v>
      </c>
      <c r="H55" s="11">
        <f t="shared" si="5"/>
        <v>5</v>
      </c>
      <c r="I55" s="11">
        <f t="shared" si="6"/>
        <v>5.5</v>
      </c>
    </row>
    <row r="56" spans="1:9" x14ac:dyDescent="0.2">
      <c r="A56" s="12">
        <f>Calculator!$D$6+51</f>
        <v>46364</v>
      </c>
      <c r="B56" s="13">
        <f>A56-Calculator!$D$6</f>
        <v>51</v>
      </c>
      <c r="C56" s="14">
        <f t="shared" si="0"/>
        <v>0.13972602739726028</v>
      </c>
      <c r="D56" s="15">
        <f t="shared" si="1"/>
        <v>2.25</v>
      </c>
      <c r="E56" s="15">
        <f t="shared" si="2"/>
        <v>2.75</v>
      </c>
      <c r="F56" s="15">
        <f t="shared" si="3"/>
        <v>3.25</v>
      </c>
      <c r="G56" s="15">
        <f t="shared" si="4"/>
        <v>4.5</v>
      </c>
      <c r="H56" s="15">
        <f t="shared" si="5"/>
        <v>5</v>
      </c>
      <c r="I56" s="15">
        <f t="shared" si="6"/>
        <v>5.5</v>
      </c>
    </row>
    <row r="57" spans="1:9" x14ac:dyDescent="0.2">
      <c r="A57" s="8">
        <f>Calculator!$D$6+52</f>
        <v>46365</v>
      </c>
      <c r="B57" s="9">
        <f>A57-Calculator!$D$6</f>
        <v>52</v>
      </c>
      <c r="C57" s="10">
        <f t="shared" si="0"/>
        <v>0.14246575342465753</v>
      </c>
      <c r="D57" s="11">
        <f t="shared" si="1"/>
        <v>2.25</v>
      </c>
      <c r="E57" s="11">
        <f t="shared" si="2"/>
        <v>2.75</v>
      </c>
      <c r="F57" s="11">
        <f t="shared" si="3"/>
        <v>3.5</v>
      </c>
      <c r="G57" s="11">
        <f t="shared" si="4"/>
        <v>4.5</v>
      </c>
      <c r="H57" s="11">
        <f t="shared" si="5"/>
        <v>5.25</v>
      </c>
      <c r="I57" s="11">
        <f t="shared" si="6"/>
        <v>5.75</v>
      </c>
    </row>
    <row r="58" spans="1:9" x14ac:dyDescent="0.2">
      <c r="A58" s="12">
        <f>Calculator!$D$6+53</f>
        <v>46366</v>
      </c>
      <c r="B58" s="13">
        <f>A58-Calculator!$D$6</f>
        <v>53</v>
      </c>
      <c r="C58" s="14">
        <f t="shared" si="0"/>
        <v>0.14520547945205478</v>
      </c>
      <c r="D58" s="15">
        <f t="shared" si="1"/>
        <v>2.25</v>
      </c>
      <c r="E58" s="15">
        <f t="shared" si="2"/>
        <v>3</v>
      </c>
      <c r="F58" s="15">
        <f t="shared" si="3"/>
        <v>3.5</v>
      </c>
      <c r="G58" s="15">
        <f t="shared" si="4"/>
        <v>4.75</v>
      </c>
      <c r="H58" s="15">
        <f t="shared" si="5"/>
        <v>5.25</v>
      </c>
      <c r="I58" s="15">
        <f t="shared" si="6"/>
        <v>5.75</v>
      </c>
    </row>
    <row r="59" spans="1:9" x14ac:dyDescent="0.2">
      <c r="A59" s="8">
        <f>Calculator!$D$6+54</f>
        <v>46367</v>
      </c>
      <c r="B59" s="9">
        <f>A59-Calculator!$D$6</f>
        <v>54</v>
      </c>
      <c r="C59" s="10">
        <f t="shared" si="0"/>
        <v>0.14794520547945206</v>
      </c>
      <c r="D59" s="11">
        <f t="shared" si="1"/>
        <v>2.25</v>
      </c>
      <c r="E59" s="11">
        <f t="shared" si="2"/>
        <v>3</v>
      </c>
      <c r="F59" s="11">
        <f t="shared" si="3"/>
        <v>3.5</v>
      </c>
      <c r="G59" s="11">
        <f t="shared" si="4"/>
        <v>4.75</v>
      </c>
      <c r="H59" s="11">
        <f t="shared" si="5"/>
        <v>5.25</v>
      </c>
      <c r="I59" s="11">
        <f t="shared" si="6"/>
        <v>6</v>
      </c>
    </row>
    <row r="60" spans="1:9" x14ac:dyDescent="0.2">
      <c r="A60" s="12">
        <f>Calculator!$D$6+55</f>
        <v>46368</v>
      </c>
      <c r="B60" s="13">
        <f>A60-Calculator!$D$6</f>
        <v>55</v>
      </c>
      <c r="C60" s="14">
        <f t="shared" si="0"/>
        <v>0.15068493150684931</v>
      </c>
      <c r="D60" s="15">
        <f t="shared" si="1"/>
        <v>2.5</v>
      </c>
      <c r="E60" s="15">
        <f t="shared" si="2"/>
        <v>3</v>
      </c>
      <c r="F60" s="15">
        <f t="shared" si="3"/>
        <v>3.5</v>
      </c>
      <c r="G60" s="15">
        <f t="shared" si="4"/>
        <v>4.75</v>
      </c>
      <c r="H60" s="15">
        <f t="shared" si="5"/>
        <v>5.5</v>
      </c>
      <c r="I60" s="15">
        <f t="shared" si="6"/>
        <v>6</v>
      </c>
    </row>
    <row r="61" spans="1:9" x14ac:dyDescent="0.2">
      <c r="A61" s="8">
        <f>Calculator!$D$6+56</f>
        <v>46369</v>
      </c>
      <c r="B61" s="9">
        <f>A61-Calculator!$D$6</f>
        <v>56</v>
      </c>
      <c r="C61" s="10">
        <f t="shared" si="0"/>
        <v>0.15342465753424658</v>
      </c>
      <c r="D61" s="11">
        <f t="shared" si="1"/>
        <v>2.5</v>
      </c>
      <c r="E61" s="11">
        <f t="shared" si="2"/>
        <v>3</v>
      </c>
      <c r="F61" s="11">
        <f t="shared" si="3"/>
        <v>3.75</v>
      </c>
      <c r="G61" s="11">
        <f t="shared" si="4"/>
        <v>5</v>
      </c>
      <c r="H61" s="11">
        <f t="shared" si="5"/>
        <v>5.5</v>
      </c>
      <c r="I61" s="11">
        <f t="shared" si="6"/>
        <v>6.25</v>
      </c>
    </row>
    <row r="62" spans="1:9" x14ac:dyDescent="0.2">
      <c r="A62" s="12">
        <f>Calculator!$D$6+57</f>
        <v>46370</v>
      </c>
      <c r="B62" s="13">
        <f>A62-Calculator!$D$6</f>
        <v>57</v>
      </c>
      <c r="C62" s="14">
        <f t="shared" si="0"/>
        <v>0.15616438356164383</v>
      </c>
      <c r="D62" s="15">
        <f t="shared" si="1"/>
        <v>2.5</v>
      </c>
      <c r="E62" s="15">
        <f t="shared" si="2"/>
        <v>3</v>
      </c>
      <c r="F62" s="15">
        <f t="shared" si="3"/>
        <v>3.75</v>
      </c>
      <c r="G62" s="15">
        <f t="shared" si="4"/>
        <v>5</v>
      </c>
      <c r="H62" s="15">
        <f t="shared" si="5"/>
        <v>5.5</v>
      </c>
      <c r="I62" s="15">
        <f t="shared" si="6"/>
        <v>6.25</v>
      </c>
    </row>
    <row r="63" spans="1:9" x14ac:dyDescent="0.2">
      <c r="A63" s="8">
        <f>Calculator!$D$6+58</f>
        <v>46371</v>
      </c>
      <c r="B63" s="9">
        <f>A63-Calculator!$D$6</f>
        <v>58</v>
      </c>
      <c r="C63" s="10">
        <f t="shared" si="0"/>
        <v>0.15890410958904111</v>
      </c>
      <c r="D63" s="11">
        <f t="shared" si="1"/>
        <v>2.5</v>
      </c>
      <c r="E63" s="11">
        <f t="shared" si="2"/>
        <v>3.25</v>
      </c>
      <c r="F63" s="11">
        <f t="shared" si="3"/>
        <v>3.75</v>
      </c>
      <c r="G63" s="11">
        <f t="shared" si="4"/>
        <v>5</v>
      </c>
      <c r="H63" s="11">
        <f t="shared" si="5"/>
        <v>5.75</v>
      </c>
      <c r="I63" s="11">
        <f t="shared" si="6"/>
        <v>6.25</v>
      </c>
    </row>
    <row r="64" spans="1:9" x14ac:dyDescent="0.2">
      <c r="A64" s="12">
        <f>Calculator!$D$6+59</f>
        <v>46372</v>
      </c>
      <c r="B64" s="13">
        <f>A64-Calculator!$D$6</f>
        <v>59</v>
      </c>
      <c r="C64" s="14">
        <f t="shared" si="0"/>
        <v>0.16164383561643836</v>
      </c>
      <c r="D64" s="15">
        <f t="shared" si="1"/>
        <v>2.5</v>
      </c>
      <c r="E64" s="15">
        <f t="shared" si="2"/>
        <v>3.25</v>
      </c>
      <c r="F64" s="15">
        <f t="shared" si="3"/>
        <v>4</v>
      </c>
      <c r="G64" s="15">
        <f t="shared" si="4"/>
        <v>5.25</v>
      </c>
      <c r="H64" s="15">
        <f t="shared" si="5"/>
        <v>5.75</v>
      </c>
      <c r="I64" s="15">
        <f t="shared" si="6"/>
        <v>6.5</v>
      </c>
    </row>
    <row r="65" spans="1:9" x14ac:dyDescent="0.2">
      <c r="A65" s="8">
        <f>Calculator!$D$6+60</f>
        <v>46373</v>
      </c>
      <c r="B65" s="9">
        <f>A65-Calculator!$D$6</f>
        <v>60</v>
      </c>
      <c r="C65" s="10">
        <f t="shared" si="0"/>
        <v>0.16438356164383561</v>
      </c>
      <c r="D65" s="11">
        <f t="shared" si="1"/>
        <v>2.75</v>
      </c>
      <c r="E65" s="11">
        <f t="shared" si="2"/>
        <v>3.25</v>
      </c>
      <c r="F65" s="11">
        <f t="shared" si="3"/>
        <v>4</v>
      </c>
      <c r="G65" s="11">
        <f t="shared" si="4"/>
        <v>5.25</v>
      </c>
      <c r="H65" s="11">
        <f t="shared" si="5"/>
        <v>6</v>
      </c>
      <c r="I65" s="11">
        <f t="shared" si="6"/>
        <v>6.5</v>
      </c>
    </row>
    <row r="66" spans="1:9" x14ac:dyDescent="0.2">
      <c r="A66" s="12">
        <f>Calculator!$D$6+61</f>
        <v>46374</v>
      </c>
      <c r="B66" s="13">
        <f>A66-Calculator!$D$6</f>
        <v>61</v>
      </c>
      <c r="C66" s="14">
        <f t="shared" si="0"/>
        <v>0.16712328767123288</v>
      </c>
      <c r="D66" s="15">
        <f t="shared" si="1"/>
        <v>2.75</v>
      </c>
      <c r="E66" s="15">
        <f t="shared" si="2"/>
        <v>3.25</v>
      </c>
      <c r="F66" s="15">
        <f t="shared" si="3"/>
        <v>4</v>
      </c>
      <c r="G66" s="15">
        <f t="shared" si="4"/>
        <v>5.25</v>
      </c>
      <c r="H66" s="15">
        <f t="shared" si="5"/>
        <v>6</v>
      </c>
      <c r="I66" s="15">
        <f t="shared" si="6"/>
        <v>6.75</v>
      </c>
    </row>
    <row r="67" spans="1:9" x14ac:dyDescent="0.2">
      <c r="A67" s="8">
        <f>Calculator!$D$6+62</f>
        <v>46375</v>
      </c>
      <c r="B67" s="9">
        <f>A67-Calculator!$D$6</f>
        <v>62</v>
      </c>
      <c r="C67" s="10">
        <f t="shared" si="0"/>
        <v>0.16986301369863013</v>
      </c>
      <c r="D67" s="11">
        <f t="shared" si="1"/>
        <v>2.75</v>
      </c>
      <c r="E67" s="11">
        <f t="shared" si="2"/>
        <v>3.5</v>
      </c>
      <c r="F67" s="11">
        <f t="shared" si="3"/>
        <v>4</v>
      </c>
      <c r="G67" s="11">
        <f t="shared" si="4"/>
        <v>5.5</v>
      </c>
      <c r="H67" s="11">
        <f t="shared" si="5"/>
        <v>6</v>
      </c>
      <c r="I67" s="11">
        <f t="shared" si="6"/>
        <v>6.75</v>
      </c>
    </row>
    <row r="68" spans="1:9" x14ac:dyDescent="0.2">
      <c r="A68" s="12">
        <f>Calculator!$D$6+63</f>
        <v>46376</v>
      </c>
      <c r="B68" s="13">
        <f>A68-Calculator!$D$6</f>
        <v>63</v>
      </c>
      <c r="C68" s="14">
        <f t="shared" si="0"/>
        <v>0.17260273972602741</v>
      </c>
      <c r="D68" s="15">
        <f t="shared" si="1"/>
        <v>2.75</v>
      </c>
      <c r="E68" s="15">
        <f t="shared" si="2"/>
        <v>3.5</v>
      </c>
      <c r="F68" s="15">
        <f t="shared" si="3"/>
        <v>4.25</v>
      </c>
      <c r="G68" s="15">
        <f t="shared" si="4"/>
        <v>5.5</v>
      </c>
      <c r="H68" s="15">
        <f t="shared" si="5"/>
        <v>6.25</v>
      </c>
      <c r="I68" s="15">
        <f t="shared" si="6"/>
        <v>7</v>
      </c>
    </row>
    <row r="69" spans="1:9" x14ac:dyDescent="0.2">
      <c r="A69" s="8">
        <f>Calculator!$D$6+64</f>
        <v>46377</v>
      </c>
      <c r="B69" s="9">
        <f>A69-Calculator!$D$6</f>
        <v>64</v>
      </c>
      <c r="C69" s="10">
        <f t="shared" ref="C69:C132" si="7">B69/365</f>
        <v>0.17534246575342466</v>
      </c>
      <c r="D69" s="11">
        <f t="shared" ref="D69:D132" si="8">MROUND(16*$C69,0.25)</f>
        <v>2.75</v>
      </c>
      <c r="E69" s="11">
        <f t="shared" ref="E69:E132" si="9">MROUND(20*$C69,0.25)</f>
        <v>3.5</v>
      </c>
      <c r="F69" s="11">
        <f t="shared" ref="F69:F132" si="10">MROUND(24*$C69,0.25)</f>
        <v>4.25</v>
      </c>
      <c r="G69" s="11">
        <f t="shared" ref="G69:G132" si="11">MROUND(32*$C69,0.25)</f>
        <v>5.5</v>
      </c>
      <c r="H69" s="11">
        <f t="shared" ref="H69:H132" si="12">MROUND(36*$C69,0.25)</f>
        <v>6.25</v>
      </c>
      <c r="I69" s="11">
        <f t="shared" ref="I69:I132" si="13">MROUND(40*$C69,0.25)</f>
        <v>7</v>
      </c>
    </row>
    <row r="70" spans="1:9" x14ac:dyDescent="0.2">
      <c r="A70" s="12">
        <f>Calculator!$D$6+65</f>
        <v>46378</v>
      </c>
      <c r="B70" s="13">
        <f>A70-Calculator!$D$6</f>
        <v>65</v>
      </c>
      <c r="C70" s="14">
        <f t="shared" si="7"/>
        <v>0.17808219178082191</v>
      </c>
      <c r="D70" s="15">
        <f t="shared" si="8"/>
        <v>2.75</v>
      </c>
      <c r="E70" s="15">
        <f t="shared" si="9"/>
        <v>3.5</v>
      </c>
      <c r="F70" s="15">
        <f t="shared" si="10"/>
        <v>4.25</v>
      </c>
      <c r="G70" s="15">
        <f t="shared" si="11"/>
        <v>5.75</v>
      </c>
      <c r="H70" s="15">
        <f t="shared" si="12"/>
        <v>6.5</v>
      </c>
      <c r="I70" s="15">
        <f t="shared" si="13"/>
        <v>7</v>
      </c>
    </row>
    <row r="71" spans="1:9" x14ac:dyDescent="0.2">
      <c r="A71" s="8">
        <f>Calculator!$D$6+66</f>
        <v>46379</v>
      </c>
      <c r="B71" s="9">
        <f>A71-Calculator!$D$6</f>
        <v>66</v>
      </c>
      <c r="C71" s="10">
        <f t="shared" si="7"/>
        <v>0.18082191780821918</v>
      </c>
      <c r="D71" s="11">
        <f t="shared" si="8"/>
        <v>3</v>
      </c>
      <c r="E71" s="11">
        <f t="shared" si="9"/>
        <v>3.5</v>
      </c>
      <c r="F71" s="11">
        <f t="shared" si="10"/>
        <v>4.25</v>
      </c>
      <c r="G71" s="11">
        <f t="shared" si="11"/>
        <v>5.75</v>
      </c>
      <c r="H71" s="11">
        <f t="shared" si="12"/>
        <v>6.5</v>
      </c>
      <c r="I71" s="11">
        <f t="shared" si="13"/>
        <v>7.25</v>
      </c>
    </row>
    <row r="72" spans="1:9" x14ac:dyDescent="0.2">
      <c r="A72" s="12">
        <f>Calculator!$D$6+67</f>
        <v>46380</v>
      </c>
      <c r="B72" s="13">
        <f>A72-Calculator!$D$6</f>
        <v>67</v>
      </c>
      <c r="C72" s="14">
        <f t="shared" si="7"/>
        <v>0.18356164383561643</v>
      </c>
      <c r="D72" s="15">
        <f t="shared" si="8"/>
        <v>3</v>
      </c>
      <c r="E72" s="15">
        <f t="shared" si="9"/>
        <v>3.75</v>
      </c>
      <c r="F72" s="15">
        <f t="shared" si="10"/>
        <v>4.5</v>
      </c>
      <c r="G72" s="15">
        <f t="shared" si="11"/>
        <v>5.75</v>
      </c>
      <c r="H72" s="15">
        <f t="shared" si="12"/>
        <v>6.5</v>
      </c>
      <c r="I72" s="15">
        <f t="shared" si="13"/>
        <v>7.25</v>
      </c>
    </row>
    <row r="73" spans="1:9" x14ac:dyDescent="0.2">
      <c r="A73" s="8">
        <f>Calculator!$D$6+68</f>
        <v>46381</v>
      </c>
      <c r="B73" s="9">
        <f>A73-Calculator!$D$6</f>
        <v>68</v>
      </c>
      <c r="C73" s="10">
        <f t="shared" si="7"/>
        <v>0.18630136986301371</v>
      </c>
      <c r="D73" s="11">
        <f t="shared" si="8"/>
        <v>3</v>
      </c>
      <c r="E73" s="11">
        <f t="shared" si="9"/>
        <v>3.75</v>
      </c>
      <c r="F73" s="11">
        <f t="shared" si="10"/>
        <v>4.5</v>
      </c>
      <c r="G73" s="11">
        <f t="shared" si="11"/>
        <v>6</v>
      </c>
      <c r="H73" s="11">
        <f t="shared" si="12"/>
        <v>6.75</v>
      </c>
      <c r="I73" s="11">
        <f t="shared" si="13"/>
        <v>7.5</v>
      </c>
    </row>
    <row r="74" spans="1:9" x14ac:dyDescent="0.2">
      <c r="A74" s="12">
        <f>Calculator!$D$6+69</f>
        <v>46382</v>
      </c>
      <c r="B74" s="13">
        <f>A74-Calculator!$D$6</f>
        <v>69</v>
      </c>
      <c r="C74" s="14">
        <f t="shared" si="7"/>
        <v>0.18904109589041096</v>
      </c>
      <c r="D74" s="15">
        <f t="shared" si="8"/>
        <v>3</v>
      </c>
      <c r="E74" s="15">
        <f t="shared" si="9"/>
        <v>3.75</v>
      </c>
      <c r="F74" s="15">
        <f t="shared" si="10"/>
        <v>4.5</v>
      </c>
      <c r="G74" s="15">
        <f t="shared" si="11"/>
        <v>6</v>
      </c>
      <c r="H74" s="15">
        <f t="shared" si="12"/>
        <v>6.75</v>
      </c>
      <c r="I74" s="15">
        <f t="shared" si="13"/>
        <v>7.5</v>
      </c>
    </row>
    <row r="75" spans="1:9" x14ac:dyDescent="0.2">
      <c r="A75" s="8">
        <f>Calculator!$D$6+70</f>
        <v>46383</v>
      </c>
      <c r="B75" s="9">
        <f>A75-Calculator!$D$6</f>
        <v>70</v>
      </c>
      <c r="C75" s="10">
        <f t="shared" si="7"/>
        <v>0.19178082191780821</v>
      </c>
      <c r="D75" s="11">
        <f t="shared" si="8"/>
        <v>3</v>
      </c>
      <c r="E75" s="11">
        <f t="shared" si="9"/>
        <v>3.75</v>
      </c>
      <c r="F75" s="11">
        <f t="shared" si="10"/>
        <v>4.5</v>
      </c>
      <c r="G75" s="11">
        <f t="shared" si="11"/>
        <v>6.25</v>
      </c>
      <c r="H75" s="11">
        <f t="shared" si="12"/>
        <v>7</v>
      </c>
      <c r="I75" s="11">
        <f t="shared" si="13"/>
        <v>7.75</v>
      </c>
    </row>
    <row r="76" spans="1:9" x14ac:dyDescent="0.2">
      <c r="A76" s="12">
        <f>Calculator!$D$6+71</f>
        <v>46384</v>
      </c>
      <c r="B76" s="13">
        <f>A76-Calculator!$D$6</f>
        <v>71</v>
      </c>
      <c r="C76" s="14">
        <f t="shared" si="7"/>
        <v>0.19452054794520549</v>
      </c>
      <c r="D76" s="15">
        <f t="shared" si="8"/>
        <v>3</v>
      </c>
      <c r="E76" s="15">
        <f t="shared" si="9"/>
        <v>4</v>
      </c>
      <c r="F76" s="15">
        <f t="shared" si="10"/>
        <v>4.75</v>
      </c>
      <c r="G76" s="15">
        <f t="shared" si="11"/>
        <v>6.25</v>
      </c>
      <c r="H76" s="15">
        <f t="shared" si="12"/>
        <v>7</v>
      </c>
      <c r="I76" s="15">
        <f t="shared" si="13"/>
        <v>7.75</v>
      </c>
    </row>
    <row r="77" spans="1:9" x14ac:dyDescent="0.2">
      <c r="A77" s="8">
        <f>Calculator!$D$6+72</f>
        <v>46385</v>
      </c>
      <c r="B77" s="9">
        <f>A77-Calculator!$D$6</f>
        <v>72</v>
      </c>
      <c r="C77" s="10">
        <f t="shared" si="7"/>
        <v>0.19726027397260273</v>
      </c>
      <c r="D77" s="11">
        <f t="shared" si="8"/>
        <v>3.25</v>
      </c>
      <c r="E77" s="11">
        <f t="shared" si="9"/>
        <v>4</v>
      </c>
      <c r="F77" s="11">
        <f t="shared" si="10"/>
        <v>4.75</v>
      </c>
      <c r="G77" s="11">
        <f t="shared" si="11"/>
        <v>6.25</v>
      </c>
      <c r="H77" s="11">
        <f t="shared" si="12"/>
        <v>7</v>
      </c>
      <c r="I77" s="11">
        <f t="shared" si="13"/>
        <v>8</v>
      </c>
    </row>
    <row r="78" spans="1:9" x14ac:dyDescent="0.2">
      <c r="A78" s="12">
        <f>Calculator!$D$6+73</f>
        <v>46386</v>
      </c>
      <c r="B78" s="13">
        <f>A78-Calculator!$D$6</f>
        <v>73</v>
      </c>
      <c r="C78" s="14">
        <f t="shared" si="7"/>
        <v>0.2</v>
      </c>
      <c r="D78" s="15">
        <f t="shared" si="8"/>
        <v>3.25</v>
      </c>
      <c r="E78" s="15">
        <f t="shared" si="9"/>
        <v>4</v>
      </c>
      <c r="F78" s="15">
        <f t="shared" si="10"/>
        <v>4.75</v>
      </c>
      <c r="G78" s="15">
        <f t="shared" si="11"/>
        <v>6.5</v>
      </c>
      <c r="H78" s="15">
        <f t="shared" si="12"/>
        <v>7.25</v>
      </c>
      <c r="I78" s="15">
        <f t="shared" si="13"/>
        <v>8</v>
      </c>
    </row>
    <row r="79" spans="1:9" x14ac:dyDescent="0.2">
      <c r="A79" s="8">
        <f>Calculator!$D$6+74</f>
        <v>46387</v>
      </c>
      <c r="B79" s="9">
        <f>A79-Calculator!$D$6</f>
        <v>74</v>
      </c>
      <c r="C79" s="10">
        <f t="shared" si="7"/>
        <v>0.20273972602739726</v>
      </c>
      <c r="D79" s="11">
        <f t="shared" si="8"/>
        <v>3.25</v>
      </c>
      <c r="E79" s="11">
        <f t="shared" si="9"/>
        <v>4</v>
      </c>
      <c r="F79" s="11">
        <f t="shared" si="10"/>
        <v>4.75</v>
      </c>
      <c r="G79" s="11">
        <f t="shared" si="11"/>
        <v>6.5</v>
      </c>
      <c r="H79" s="11">
        <f t="shared" si="12"/>
        <v>7.25</v>
      </c>
      <c r="I79" s="11">
        <f t="shared" si="13"/>
        <v>8</v>
      </c>
    </row>
    <row r="80" spans="1:9" x14ac:dyDescent="0.2">
      <c r="A80" s="12">
        <f>Calculator!$D$6+75</f>
        <v>46388</v>
      </c>
      <c r="B80" s="13">
        <f>A80-Calculator!$D$6</f>
        <v>75</v>
      </c>
      <c r="C80" s="14">
        <f t="shared" si="7"/>
        <v>0.20547945205479451</v>
      </c>
      <c r="D80" s="15">
        <f t="shared" si="8"/>
        <v>3.25</v>
      </c>
      <c r="E80" s="15">
        <f t="shared" si="9"/>
        <v>4</v>
      </c>
      <c r="F80" s="15">
        <f t="shared" si="10"/>
        <v>5</v>
      </c>
      <c r="G80" s="15">
        <f t="shared" si="11"/>
        <v>6.5</v>
      </c>
      <c r="H80" s="15">
        <f t="shared" si="12"/>
        <v>7.5</v>
      </c>
      <c r="I80" s="15">
        <f t="shared" si="13"/>
        <v>8.25</v>
      </c>
    </row>
    <row r="81" spans="1:9" x14ac:dyDescent="0.2">
      <c r="A81" s="8">
        <f>Calculator!$D$6+76</f>
        <v>46389</v>
      </c>
      <c r="B81" s="9">
        <f>A81-Calculator!$D$6</f>
        <v>76</v>
      </c>
      <c r="C81" s="10">
        <f t="shared" si="7"/>
        <v>0.20821917808219179</v>
      </c>
      <c r="D81" s="11">
        <f t="shared" si="8"/>
        <v>3.25</v>
      </c>
      <c r="E81" s="11">
        <f t="shared" si="9"/>
        <v>4.25</v>
      </c>
      <c r="F81" s="11">
        <f t="shared" si="10"/>
        <v>5</v>
      </c>
      <c r="G81" s="11">
        <f t="shared" si="11"/>
        <v>6.75</v>
      </c>
      <c r="H81" s="11">
        <f t="shared" si="12"/>
        <v>7.5</v>
      </c>
      <c r="I81" s="11">
        <f t="shared" si="13"/>
        <v>8.25</v>
      </c>
    </row>
    <row r="82" spans="1:9" x14ac:dyDescent="0.2">
      <c r="A82" s="12">
        <f>Calculator!$D$6+77</f>
        <v>46390</v>
      </c>
      <c r="B82" s="13">
        <f>A82-Calculator!$D$6</f>
        <v>77</v>
      </c>
      <c r="C82" s="14">
        <f t="shared" si="7"/>
        <v>0.21095890410958903</v>
      </c>
      <c r="D82" s="15">
        <f t="shared" si="8"/>
        <v>3.5</v>
      </c>
      <c r="E82" s="15">
        <f t="shared" si="9"/>
        <v>4.25</v>
      </c>
      <c r="F82" s="15">
        <f t="shared" si="10"/>
        <v>5</v>
      </c>
      <c r="G82" s="15">
        <f t="shared" si="11"/>
        <v>6.75</v>
      </c>
      <c r="H82" s="15">
        <f t="shared" si="12"/>
        <v>7.5</v>
      </c>
      <c r="I82" s="15">
        <f t="shared" si="13"/>
        <v>8.5</v>
      </c>
    </row>
    <row r="83" spans="1:9" x14ac:dyDescent="0.2">
      <c r="A83" s="8">
        <f>Calculator!$D$6+78</f>
        <v>46391</v>
      </c>
      <c r="B83" s="9">
        <f>A83-Calculator!$D$6</f>
        <v>78</v>
      </c>
      <c r="C83" s="10">
        <f t="shared" si="7"/>
        <v>0.21369863013698631</v>
      </c>
      <c r="D83" s="11">
        <f t="shared" si="8"/>
        <v>3.5</v>
      </c>
      <c r="E83" s="11">
        <f t="shared" si="9"/>
        <v>4.25</v>
      </c>
      <c r="F83" s="11">
        <f t="shared" si="10"/>
        <v>5.25</v>
      </c>
      <c r="G83" s="11">
        <f t="shared" si="11"/>
        <v>6.75</v>
      </c>
      <c r="H83" s="11">
        <f t="shared" si="12"/>
        <v>7.75</v>
      </c>
      <c r="I83" s="11">
        <f t="shared" si="13"/>
        <v>8.5</v>
      </c>
    </row>
    <row r="84" spans="1:9" x14ac:dyDescent="0.2">
      <c r="A84" s="12">
        <f>Calculator!$D$6+79</f>
        <v>46392</v>
      </c>
      <c r="B84" s="13">
        <f>A84-Calculator!$D$6</f>
        <v>79</v>
      </c>
      <c r="C84" s="14">
        <f t="shared" si="7"/>
        <v>0.21643835616438356</v>
      </c>
      <c r="D84" s="15">
        <f t="shared" si="8"/>
        <v>3.5</v>
      </c>
      <c r="E84" s="15">
        <f t="shared" si="9"/>
        <v>4.25</v>
      </c>
      <c r="F84" s="15">
        <f t="shared" si="10"/>
        <v>5.25</v>
      </c>
      <c r="G84" s="15">
        <f t="shared" si="11"/>
        <v>7</v>
      </c>
      <c r="H84" s="15">
        <f t="shared" si="12"/>
        <v>7.75</v>
      </c>
      <c r="I84" s="15">
        <f t="shared" si="13"/>
        <v>8.75</v>
      </c>
    </row>
    <row r="85" spans="1:9" x14ac:dyDescent="0.2">
      <c r="A85" s="8">
        <f>Calculator!$D$6+80</f>
        <v>46393</v>
      </c>
      <c r="B85" s="9">
        <f>A85-Calculator!$D$6</f>
        <v>80</v>
      </c>
      <c r="C85" s="10">
        <f t="shared" si="7"/>
        <v>0.21917808219178081</v>
      </c>
      <c r="D85" s="11">
        <f t="shared" si="8"/>
        <v>3.5</v>
      </c>
      <c r="E85" s="11">
        <f t="shared" si="9"/>
        <v>4.5</v>
      </c>
      <c r="F85" s="11">
        <f t="shared" si="10"/>
        <v>5.25</v>
      </c>
      <c r="G85" s="11">
        <f t="shared" si="11"/>
        <v>7</v>
      </c>
      <c r="H85" s="11">
        <f t="shared" si="12"/>
        <v>8</v>
      </c>
      <c r="I85" s="11">
        <f t="shared" si="13"/>
        <v>8.75</v>
      </c>
    </row>
    <row r="86" spans="1:9" x14ac:dyDescent="0.2">
      <c r="A86" s="12">
        <f>Calculator!$D$6+81</f>
        <v>46394</v>
      </c>
      <c r="B86" s="13">
        <f>A86-Calculator!$D$6</f>
        <v>81</v>
      </c>
      <c r="C86" s="14">
        <f t="shared" si="7"/>
        <v>0.22191780821917809</v>
      </c>
      <c r="D86" s="15">
        <f t="shared" si="8"/>
        <v>3.5</v>
      </c>
      <c r="E86" s="15">
        <f t="shared" si="9"/>
        <v>4.5</v>
      </c>
      <c r="F86" s="15">
        <f t="shared" si="10"/>
        <v>5.25</v>
      </c>
      <c r="G86" s="15">
        <f t="shared" si="11"/>
        <v>7</v>
      </c>
      <c r="H86" s="15">
        <f t="shared" si="12"/>
        <v>8</v>
      </c>
      <c r="I86" s="15">
        <f t="shared" si="13"/>
        <v>9</v>
      </c>
    </row>
    <row r="87" spans="1:9" x14ac:dyDescent="0.2">
      <c r="A87" s="8">
        <f>Calculator!$D$6+82</f>
        <v>46395</v>
      </c>
      <c r="B87" s="9">
        <f>A87-Calculator!$D$6</f>
        <v>82</v>
      </c>
      <c r="C87" s="10">
        <f t="shared" si="7"/>
        <v>0.22465753424657534</v>
      </c>
      <c r="D87" s="11">
        <f t="shared" si="8"/>
        <v>3.5</v>
      </c>
      <c r="E87" s="11">
        <f t="shared" si="9"/>
        <v>4.5</v>
      </c>
      <c r="F87" s="11">
        <f t="shared" si="10"/>
        <v>5.5</v>
      </c>
      <c r="G87" s="11">
        <f t="shared" si="11"/>
        <v>7.25</v>
      </c>
      <c r="H87" s="11">
        <f t="shared" si="12"/>
        <v>8</v>
      </c>
      <c r="I87" s="11">
        <f t="shared" si="13"/>
        <v>9</v>
      </c>
    </row>
    <row r="88" spans="1:9" x14ac:dyDescent="0.2">
      <c r="A88" s="12">
        <f>Calculator!$D$6+83</f>
        <v>46396</v>
      </c>
      <c r="B88" s="13">
        <f>A88-Calculator!$D$6</f>
        <v>83</v>
      </c>
      <c r="C88" s="14">
        <f t="shared" si="7"/>
        <v>0.22739726027397261</v>
      </c>
      <c r="D88" s="15">
        <f t="shared" si="8"/>
        <v>3.75</v>
      </c>
      <c r="E88" s="15">
        <f t="shared" si="9"/>
        <v>4.5</v>
      </c>
      <c r="F88" s="15">
        <f t="shared" si="10"/>
        <v>5.5</v>
      </c>
      <c r="G88" s="15">
        <f t="shared" si="11"/>
        <v>7.25</v>
      </c>
      <c r="H88" s="15">
        <f t="shared" si="12"/>
        <v>8.25</v>
      </c>
      <c r="I88" s="15">
        <f t="shared" si="13"/>
        <v>9</v>
      </c>
    </row>
    <row r="89" spans="1:9" x14ac:dyDescent="0.2">
      <c r="A89" s="8">
        <f>Calculator!$D$6+84</f>
        <v>46397</v>
      </c>
      <c r="B89" s="9">
        <f>A89-Calculator!$D$6</f>
        <v>84</v>
      </c>
      <c r="C89" s="10">
        <f t="shared" si="7"/>
        <v>0.23013698630136986</v>
      </c>
      <c r="D89" s="11">
        <f t="shared" si="8"/>
        <v>3.75</v>
      </c>
      <c r="E89" s="11">
        <f t="shared" si="9"/>
        <v>4.5</v>
      </c>
      <c r="F89" s="11">
        <f t="shared" si="10"/>
        <v>5.5</v>
      </c>
      <c r="G89" s="11">
        <f t="shared" si="11"/>
        <v>7.25</v>
      </c>
      <c r="H89" s="11">
        <f t="shared" si="12"/>
        <v>8.25</v>
      </c>
      <c r="I89" s="11">
        <f t="shared" si="13"/>
        <v>9.25</v>
      </c>
    </row>
    <row r="90" spans="1:9" x14ac:dyDescent="0.2">
      <c r="A90" s="12">
        <f>Calculator!$D$6+85</f>
        <v>46398</v>
      </c>
      <c r="B90" s="13">
        <f>A90-Calculator!$D$6</f>
        <v>85</v>
      </c>
      <c r="C90" s="14">
        <f t="shared" si="7"/>
        <v>0.23287671232876711</v>
      </c>
      <c r="D90" s="15">
        <f t="shared" si="8"/>
        <v>3.75</v>
      </c>
      <c r="E90" s="15">
        <f t="shared" si="9"/>
        <v>4.75</v>
      </c>
      <c r="F90" s="15">
        <f t="shared" si="10"/>
        <v>5.5</v>
      </c>
      <c r="G90" s="15">
        <f t="shared" si="11"/>
        <v>7.5</v>
      </c>
      <c r="H90" s="15">
        <f t="shared" si="12"/>
        <v>8.5</v>
      </c>
      <c r="I90" s="15">
        <f t="shared" si="13"/>
        <v>9.25</v>
      </c>
    </row>
    <row r="91" spans="1:9" x14ac:dyDescent="0.2">
      <c r="A91" s="8">
        <f>Calculator!$D$6+86</f>
        <v>46399</v>
      </c>
      <c r="B91" s="9">
        <f>A91-Calculator!$D$6</f>
        <v>86</v>
      </c>
      <c r="C91" s="10">
        <f t="shared" si="7"/>
        <v>0.23561643835616439</v>
      </c>
      <c r="D91" s="11">
        <f t="shared" si="8"/>
        <v>3.75</v>
      </c>
      <c r="E91" s="11">
        <f t="shared" si="9"/>
        <v>4.75</v>
      </c>
      <c r="F91" s="11">
        <f t="shared" si="10"/>
        <v>5.75</v>
      </c>
      <c r="G91" s="11">
        <f t="shared" si="11"/>
        <v>7.5</v>
      </c>
      <c r="H91" s="11">
        <f t="shared" si="12"/>
        <v>8.5</v>
      </c>
      <c r="I91" s="11">
        <f t="shared" si="13"/>
        <v>9.5</v>
      </c>
    </row>
    <row r="92" spans="1:9" x14ac:dyDescent="0.2">
      <c r="A92" s="12">
        <f>Calculator!$D$6+87</f>
        <v>46400</v>
      </c>
      <c r="B92" s="13">
        <f>A92-Calculator!$D$6</f>
        <v>87</v>
      </c>
      <c r="C92" s="14">
        <f t="shared" si="7"/>
        <v>0.23835616438356164</v>
      </c>
      <c r="D92" s="15">
        <f t="shared" si="8"/>
        <v>3.75</v>
      </c>
      <c r="E92" s="15">
        <f t="shared" si="9"/>
        <v>4.75</v>
      </c>
      <c r="F92" s="15">
        <f t="shared" si="10"/>
        <v>5.75</v>
      </c>
      <c r="G92" s="15">
        <f t="shared" si="11"/>
        <v>7.75</v>
      </c>
      <c r="H92" s="15">
        <f t="shared" si="12"/>
        <v>8.5</v>
      </c>
      <c r="I92" s="15">
        <f t="shared" si="13"/>
        <v>9.5</v>
      </c>
    </row>
    <row r="93" spans="1:9" x14ac:dyDescent="0.2">
      <c r="A93" s="8">
        <f>Calculator!$D$6+88</f>
        <v>46401</v>
      </c>
      <c r="B93" s="9">
        <f>A93-Calculator!$D$6</f>
        <v>88</v>
      </c>
      <c r="C93" s="10">
        <f t="shared" si="7"/>
        <v>0.24109589041095891</v>
      </c>
      <c r="D93" s="11">
        <f t="shared" si="8"/>
        <v>3.75</v>
      </c>
      <c r="E93" s="11">
        <f t="shared" si="9"/>
        <v>4.75</v>
      </c>
      <c r="F93" s="11">
        <f t="shared" si="10"/>
        <v>5.75</v>
      </c>
      <c r="G93" s="11">
        <f t="shared" si="11"/>
        <v>7.75</v>
      </c>
      <c r="H93" s="11">
        <f t="shared" si="12"/>
        <v>8.75</v>
      </c>
      <c r="I93" s="11">
        <f t="shared" si="13"/>
        <v>9.75</v>
      </c>
    </row>
    <row r="94" spans="1:9" x14ac:dyDescent="0.2">
      <c r="A94" s="12">
        <f>Calculator!$D$6+89</f>
        <v>46402</v>
      </c>
      <c r="B94" s="13">
        <f>A94-Calculator!$D$6</f>
        <v>89</v>
      </c>
      <c r="C94" s="14">
        <f t="shared" si="7"/>
        <v>0.24383561643835616</v>
      </c>
      <c r="D94" s="15">
        <f t="shared" si="8"/>
        <v>4</v>
      </c>
      <c r="E94" s="15">
        <f t="shared" si="9"/>
        <v>5</v>
      </c>
      <c r="F94" s="15">
        <f t="shared" si="10"/>
        <v>5.75</v>
      </c>
      <c r="G94" s="15">
        <f t="shared" si="11"/>
        <v>7.75</v>
      </c>
      <c r="H94" s="15">
        <f t="shared" si="12"/>
        <v>8.75</v>
      </c>
      <c r="I94" s="15">
        <f t="shared" si="13"/>
        <v>9.75</v>
      </c>
    </row>
    <row r="95" spans="1:9" x14ac:dyDescent="0.2">
      <c r="A95" s="8">
        <f>Calculator!$D$6+90</f>
        <v>46403</v>
      </c>
      <c r="B95" s="9">
        <f>A95-Calculator!$D$6</f>
        <v>90</v>
      </c>
      <c r="C95" s="10">
        <f t="shared" si="7"/>
        <v>0.24657534246575341</v>
      </c>
      <c r="D95" s="11">
        <f t="shared" si="8"/>
        <v>4</v>
      </c>
      <c r="E95" s="11">
        <f t="shared" si="9"/>
        <v>5</v>
      </c>
      <c r="F95" s="11">
        <f t="shared" si="10"/>
        <v>6</v>
      </c>
      <c r="G95" s="11">
        <f t="shared" si="11"/>
        <v>8</v>
      </c>
      <c r="H95" s="11">
        <f t="shared" si="12"/>
        <v>9</v>
      </c>
      <c r="I95" s="11">
        <f t="shared" si="13"/>
        <v>9.75</v>
      </c>
    </row>
    <row r="96" spans="1:9" x14ac:dyDescent="0.2">
      <c r="A96" s="12">
        <f>Calculator!$D$6+91</f>
        <v>46404</v>
      </c>
      <c r="B96" s="13">
        <f>A96-Calculator!$D$6</f>
        <v>91</v>
      </c>
      <c r="C96" s="14">
        <f t="shared" si="7"/>
        <v>0.24931506849315069</v>
      </c>
      <c r="D96" s="15">
        <f t="shared" si="8"/>
        <v>4</v>
      </c>
      <c r="E96" s="15">
        <f t="shared" si="9"/>
        <v>5</v>
      </c>
      <c r="F96" s="15">
        <f t="shared" si="10"/>
        <v>6</v>
      </c>
      <c r="G96" s="15">
        <f t="shared" si="11"/>
        <v>8</v>
      </c>
      <c r="H96" s="15">
        <f t="shared" si="12"/>
        <v>9</v>
      </c>
      <c r="I96" s="15">
        <f t="shared" si="13"/>
        <v>10</v>
      </c>
    </row>
    <row r="97" spans="1:9" x14ac:dyDescent="0.2">
      <c r="A97" s="8">
        <f>Calculator!$D$6+92</f>
        <v>46405</v>
      </c>
      <c r="B97" s="9">
        <f>A97-Calculator!$D$6</f>
        <v>92</v>
      </c>
      <c r="C97" s="10">
        <f t="shared" si="7"/>
        <v>0.25205479452054796</v>
      </c>
      <c r="D97" s="11">
        <f t="shared" si="8"/>
        <v>4</v>
      </c>
      <c r="E97" s="11">
        <f t="shared" si="9"/>
        <v>5</v>
      </c>
      <c r="F97" s="11">
        <f t="shared" si="10"/>
        <v>6</v>
      </c>
      <c r="G97" s="11">
        <f t="shared" si="11"/>
        <v>8</v>
      </c>
      <c r="H97" s="11">
        <f t="shared" si="12"/>
        <v>9</v>
      </c>
      <c r="I97" s="11">
        <f t="shared" si="13"/>
        <v>10</v>
      </c>
    </row>
    <row r="98" spans="1:9" x14ac:dyDescent="0.2">
      <c r="A98" s="12">
        <f>Calculator!$D$6+93</f>
        <v>46406</v>
      </c>
      <c r="B98" s="13">
        <f>A98-Calculator!$D$6</f>
        <v>93</v>
      </c>
      <c r="C98" s="14">
        <f t="shared" si="7"/>
        <v>0.25479452054794521</v>
      </c>
      <c r="D98" s="15">
        <f t="shared" si="8"/>
        <v>4</v>
      </c>
      <c r="E98" s="15">
        <f t="shared" si="9"/>
        <v>5</v>
      </c>
      <c r="F98" s="15">
        <f t="shared" si="10"/>
        <v>6</v>
      </c>
      <c r="G98" s="15">
        <f t="shared" si="11"/>
        <v>8.25</v>
      </c>
      <c r="H98" s="15">
        <f t="shared" si="12"/>
        <v>9.25</v>
      </c>
      <c r="I98" s="15">
        <f t="shared" si="13"/>
        <v>10.25</v>
      </c>
    </row>
    <row r="99" spans="1:9" x14ac:dyDescent="0.2">
      <c r="A99" s="8">
        <f>Calculator!$D$6+94</f>
        <v>46407</v>
      </c>
      <c r="B99" s="9">
        <f>A99-Calculator!$D$6</f>
        <v>94</v>
      </c>
      <c r="C99" s="10">
        <f t="shared" si="7"/>
        <v>0.25753424657534246</v>
      </c>
      <c r="D99" s="11">
        <f t="shared" si="8"/>
        <v>4</v>
      </c>
      <c r="E99" s="11">
        <f t="shared" si="9"/>
        <v>5.25</v>
      </c>
      <c r="F99" s="11">
        <f t="shared" si="10"/>
        <v>6.25</v>
      </c>
      <c r="G99" s="11">
        <f t="shared" si="11"/>
        <v>8.25</v>
      </c>
      <c r="H99" s="11">
        <f t="shared" si="12"/>
        <v>9.25</v>
      </c>
      <c r="I99" s="11">
        <f t="shared" si="13"/>
        <v>10.25</v>
      </c>
    </row>
    <row r="100" spans="1:9" x14ac:dyDescent="0.2">
      <c r="A100" s="12">
        <f>Calculator!$D$6+95</f>
        <v>46408</v>
      </c>
      <c r="B100" s="13">
        <f>A100-Calculator!$D$6</f>
        <v>95</v>
      </c>
      <c r="C100" s="14">
        <f t="shared" si="7"/>
        <v>0.26027397260273971</v>
      </c>
      <c r="D100" s="15">
        <f t="shared" si="8"/>
        <v>4.25</v>
      </c>
      <c r="E100" s="15">
        <f t="shared" si="9"/>
        <v>5.25</v>
      </c>
      <c r="F100" s="15">
        <f t="shared" si="10"/>
        <v>6.25</v>
      </c>
      <c r="G100" s="15">
        <f t="shared" si="11"/>
        <v>8.25</v>
      </c>
      <c r="H100" s="15">
        <f t="shared" si="12"/>
        <v>9.25</v>
      </c>
      <c r="I100" s="15">
        <f t="shared" si="13"/>
        <v>10.5</v>
      </c>
    </row>
    <row r="101" spans="1:9" x14ac:dyDescent="0.2">
      <c r="A101" s="8">
        <f>Calculator!$D$6+96</f>
        <v>46409</v>
      </c>
      <c r="B101" s="9">
        <f>A101-Calculator!$D$6</f>
        <v>96</v>
      </c>
      <c r="C101" s="10">
        <f t="shared" si="7"/>
        <v>0.26301369863013696</v>
      </c>
      <c r="D101" s="11">
        <f t="shared" si="8"/>
        <v>4.25</v>
      </c>
      <c r="E101" s="11">
        <f t="shared" si="9"/>
        <v>5.25</v>
      </c>
      <c r="F101" s="11">
        <f t="shared" si="10"/>
        <v>6.25</v>
      </c>
      <c r="G101" s="11">
        <f t="shared" si="11"/>
        <v>8.5</v>
      </c>
      <c r="H101" s="11">
        <f t="shared" si="12"/>
        <v>9.5</v>
      </c>
      <c r="I101" s="11">
        <f t="shared" si="13"/>
        <v>10.5</v>
      </c>
    </row>
    <row r="102" spans="1:9" x14ac:dyDescent="0.2">
      <c r="A102" s="12">
        <f>Calculator!$D$6+97</f>
        <v>46410</v>
      </c>
      <c r="B102" s="13">
        <f>A102-Calculator!$D$6</f>
        <v>97</v>
      </c>
      <c r="C102" s="14">
        <f t="shared" si="7"/>
        <v>0.26575342465753427</v>
      </c>
      <c r="D102" s="15">
        <f t="shared" si="8"/>
        <v>4.25</v>
      </c>
      <c r="E102" s="15">
        <f t="shared" si="9"/>
        <v>5.25</v>
      </c>
      <c r="F102" s="15">
        <f t="shared" si="10"/>
        <v>6.5</v>
      </c>
      <c r="G102" s="15">
        <f t="shared" si="11"/>
        <v>8.5</v>
      </c>
      <c r="H102" s="15">
        <f t="shared" si="12"/>
        <v>9.5</v>
      </c>
      <c r="I102" s="15">
        <f t="shared" si="13"/>
        <v>10.75</v>
      </c>
    </row>
    <row r="103" spans="1:9" x14ac:dyDescent="0.2">
      <c r="A103" s="8">
        <f>Calculator!$D$6+98</f>
        <v>46411</v>
      </c>
      <c r="B103" s="9">
        <f>A103-Calculator!$D$6</f>
        <v>98</v>
      </c>
      <c r="C103" s="10">
        <f t="shared" si="7"/>
        <v>0.26849315068493151</v>
      </c>
      <c r="D103" s="11">
        <f t="shared" si="8"/>
        <v>4.25</v>
      </c>
      <c r="E103" s="11">
        <f t="shared" si="9"/>
        <v>5.25</v>
      </c>
      <c r="F103" s="11">
        <f t="shared" si="10"/>
        <v>6.5</v>
      </c>
      <c r="G103" s="11">
        <f t="shared" si="11"/>
        <v>8.5</v>
      </c>
      <c r="H103" s="11">
        <f t="shared" si="12"/>
        <v>9.75</v>
      </c>
      <c r="I103" s="11">
        <f t="shared" si="13"/>
        <v>10.75</v>
      </c>
    </row>
    <row r="104" spans="1:9" x14ac:dyDescent="0.2">
      <c r="A104" s="12">
        <f>Calculator!$D$6+99</f>
        <v>46412</v>
      </c>
      <c r="B104" s="13">
        <f>A104-Calculator!$D$6</f>
        <v>99</v>
      </c>
      <c r="C104" s="14">
        <f t="shared" si="7"/>
        <v>0.27123287671232876</v>
      </c>
      <c r="D104" s="15">
        <f t="shared" si="8"/>
        <v>4.25</v>
      </c>
      <c r="E104" s="15">
        <f t="shared" si="9"/>
        <v>5.5</v>
      </c>
      <c r="F104" s="15">
        <f t="shared" si="10"/>
        <v>6.5</v>
      </c>
      <c r="G104" s="15">
        <f t="shared" si="11"/>
        <v>8.75</v>
      </c>
      <c r="H104" s="15">
        <f t="shared" si="12"/>
        <v>9.75</v>
      </c>
      <c r="I104" s="15">
        <f t="shared" si="13"/>
        <v>10.75</v>
      </c>
    </row>
    <row r="105" spans="1:9" x14ac:dyDescent="0.2">
      <c r="A105" s="8">
        <f>Calculator!$D$6+100</f>
        <v>46413</v>
      </c>
      <c r="B105" s="9">
        <f>A105-Calculator!$D$6</f>
        <v>100</v>
      </c>
      <c r="C105" s="10">
        <f t="shared" si="7"/>
        <v>0.27397260273972601</v>
      </c>
      <c r="D105" s="11">
        <f t="shared" si="8"/>
        <v>4.5</v>
      </c>
      <c r="E105" s="11">
        <f t="shared" si="9"/>
        <v>5.5</v>
      </c>
      <c r="F105" s="11">
        <f t="shared" si="10"/>
        <v>6.5</v>
      </c>
      <c r="G105" s="11">
        <f t="shared" si="11"/>
        <v>8.75</v>
      </c>
      <c r="H105" s="11">
        <f t="shared" si="12"/>
        <v>9.75</v>
      </c>
      <c r="I105" s="11">
        <f t="shared" si="13"/>
        <v>11</v>
      </c>
    </row>
    <row r="106" spans="1:9" x14ac:dyDescent="0.2">
      <c r="A106" s="12">
        <f>Calculator!$D$6+101</f>
        <v>46414</v>
      </c>
      <c r="B106" s="13">
        <f>A106-Calculator!$D$6</f>
        <v>101</v>
      </c>
      <c r="C106" s="14">
        <f t="shared" si="7"/>
        <v>0.27671232876712326</v>
      </c>
      <c r="D106" s="15">
        <f t="shared" si="8"/>
        <v>4.5</v>
      </c>
      <c r="E106" s="15">
        <f t="shared" si="9"/>
        <v>5.5</v>
      </c>
      <c r="F106" s="15">
        <f t="shared" si="10"/>
        <v>6.75</v>
      </c>
      <c r="G106" s="15">
        <f t="shared" si="11"/>
        <v>8.75</v>
      </c>
      <c r="H106" s="15">
        <f t="shared" si="12"/>
        <v>10</v>
      </c>
      <c r="I106" s="15">
        <f t="shared" si="13"/>
        <v>11</v>
      </c>
    </row>
    <row r="107" spans="1:9" x14ac:dyDescent="0.2">
      <c r="A107" s="8">
        <f>Calculator!$D$6+102</f>
        <v>46415</v>
      </c>
      <c r="B107" s="9">
        <f>A107-Calculator!$D$6</f>
        <v>102</v>
      </c>
      <c r="C107" s="10">
        <f t="shared" si="7"/>
        <v>0.27945205479452057</v>
      </c>
      <c r="D107" s="11">
        <f t="shared" si="8"/>
        <v>4.5</v>
      </c>
      <c r="E107" s="11">
        <f t="shared" si="9"/>
        <v>5.5</v>
      </c>
      <c r="F107" s="11">
        <f t="shared" si="10"/>
        <v>6.75</v>
      </c>
      <c r="G107" s="11">
        <f t="shared" si="11"/>
        <v>9</v>
      </c>
      <c r="H107" s="11">
        <f t="shared" si="12"/>
        <v>10</v>
      </c>
      <c r="I107" s="11">
        <f t="shared" si="13"/>
        <v>11.25</v>
      </c>
    </row>
    <row r="108" spans="1:9" x14ac:dyDescent="0.2">
      <c r="A108" s="12">
        <f>Calculator!$D$6+103</f>
        <v>46416</v>
      </c>
      <c r="B108" s="13">
        <f>A108-Calculator!$D$6</f>
        <v>103</v>
      </c>
      <c r="C108" s="14">
        <f t="shared" si="7"/>
        <v>0.28219178082191781</v>
      </c>
      <c r="D108" s="15">
        <f t="shared" si="8"/>
        <v>4.5</v>
      </c>
      <c r="E108" s="15">
        <f t="shared" si="9"/>
        <v>5.75</v>
      </c>
      <c r="F108" s="15">
        <f t="shared" si="10"/>
        <v>6.75</v>
      </c>
      <c r="G108" s="15">
        <f t="shared" si="11"/>
        <v>9</v>
      </c>
      <c r="H108" s="15">
        <f t="shared" si="12"/>
        <v>10.25</v>
      </c>
      <c r="I108" s="15">
        <f t="shared" si="13"/>
        <v>11.25</v>
      </c>
    </row>
    <row r="109" spans="1:9" x14ac:dyDescent="0.2">
      <c r="A109" s="8">
        <f>Calculator!$D$6+104</f>
        <v>46417</v>
      </c>
      <c r="B109" s="9">
        <f>A109-Calculator!$D$6</f>
        <v>104</v>
      </c>
      <c r="C109" s="10">
        <f t="shared" si="7"/>
        <v>0.28493150684931506</v>
      </c>
      <c r="D109" s="11">
        <f t="shared" si="8"/>
        <v>4.5</v>
      </c>
      <c r="E109" s="11">
        <f t="shared" si="9"/>
        <v>5.75</v>
      </c>
      <c r="F109" s="11">
        <f t="shared" si="10"/>
        <v>6.75</v>
      </c>
      <c r="G109" s="11">
        <f t="shared" si="11"/>
        <v>9</v>
      </c>
      <c r="H109" s="11">
        <f t="shared" si="12"/>
        <v>10.25</v>
      </c>
      <c r="I109" s="11">
        <f t="shared" si="13"/>
        <v>11.5</v>
      </c>
    </row>
    <row r="110" spans="1:9" x14ac:dyDescent="0.2">
      <c r="A110" s="12">
        <f>Calculator!$D$6+105</f>
        <v>46418</v>
      </c>
      <c r="B110" s="13">
        <f>A110-Calculator!$D$6</f>
        <v>105</v>
      </c>
      <c r="C110" s="14">
        <f t="shared" si="7"/>
        <v>0.28767123287671231</v>
      </c>
      <c r="D110" s="15">
        <f t="shared" si="8"/>
        <v>4.5</v>
      </c>
      <c r="E110" s="15">
        <f t="shared" si="9"/>
        <v>5.75</v>
      </c>
      <c r="F110" s="15">
        <f t="shared" si="10"/>
        <v>7</v>
      </c>
      <c r="G110" s="15">
        <f t="shared" si="11"/>
        <v>9.25</v>
      </c>
      <c r="H110" s="15">
        <f t="shared" si="12"/>
        <v>10.25</v>
      </c>
      <c r="I110" s="15">
        <f t="shared" si="13"/>
        <v>11.5</v>
      </c>
    </row>
    <row r="111" spans="1:9" x14ac:dyDescent="0.2">
      <c r="A111" s="8">
        <f>Calculator!$D$6+106</f>
        <v>46419</v>
      </c>
      <c r="B111" s="9">
        <f>A111-Calculator!$D$6</f>
        <v>106</v>
      </c>
      <c r="C111" s="10">
        <f t="shared" si="7"/>
        <v>0.29041095890410956</v>
      </c>
      <c r="D111" s="11">
        <f t="shared" si="8"/>
        <v>4.75</v>
      </c>
      <c r="E111" s="11">
        <f t="shared" si="9"/>
        <v>5.75</v>
      </c>
      <c r="F111" s="11">
        <f t="shared" si="10"/>
        <v>7</v>
      </c>
      <c r="G111" s="11">
        <f t="shared" si="11"/>
        <v>9.25</v>
      </c>
      <c r="H111" s="11">
        <f t="shared" si="12"/>
        <v>10.5</v>
      </c>
      <c r="I111" s="11">
        <f t="shared" si="13"/>
        <v>11.5</v>
      </c>
    </row>
    <row r="112" spans="1:9" x14ac:dyDescent="0.2">
      <c r="A112" s="12">
        <f>Calculator!$D$6+107</f>
        <v>46420</v>
      </c>
      <c r="B112" s="13">
        <f>A112-Calculator!$D$6</f>
        <v>107</v>
      </c>
      <c r="C112" s="14">
        <f t="shared" si="7"/>
        <v>0.29315068493150687</v>
      </c>
      <c r="D112" s="15">
        <f t="shared" si="8"/>
        <v>4.75</v>
      </c>
      <c r="E112" s="15">
        <f t="shared" si="9"/>
        <v>5.75</v>
      </c>
      <c r="F112" s="15">
        <f t="shared" si="10"/>
        <v>7</v>
      </c>
      <c r="G112" s="15">
        <f t="shared" si="11"/>
        <v>9.5</v>
      </c>
      <c r="H112" s="15">
        <f t="shared" si="12"/>
        <v>10.5</v>
      </c>
      <c r="I112" s="15">
        <f t="shared" si="13"/>
        <v>11.75</v>
      </c>
    </row>
    <row r="113" spans="1:9" x14ac:dyDescent="0.2">
      <c r="A113" s="8">
        <f>Calculator!$D$6+108</f>
        <v>46421</v>
      </c>
      <c r="B113" s="9">
        <f>A113-Calculator!$D$6</f>
        <v>108</v>
      </c>
      <c r="C113" s="10">
        <f t="shared" si="7"/>
        <v>0.29589041095890412</v>
      </c>
      <c r="D113" s="11">
        <f t="shared" si="8"/>
        <v>4.75</v>
      </c>
      <c r="E113" s="11">
        <f t="shared" si="9"/>
        <v>6</v>
      </c>
      <c r="F113" s="11">
        <f t="shared" si="10"/>
        <v>7</v>
      </c>
      <c r="G113" s="11">
        <f t="shared" si="11"/>
        <v>9.5</v>
      </c>
      <c r="H113" s="11">
        <f t="shared" si="12"/>
        <v>10.75</v>
      </c>
      <c r="I113" s="11">
        <f t="shared" si="13"/>
        <v>11.75</v>
      </c>
    </row>
    <row r="114" spans="1:9" x14ac:dyDescent="0.2">
      <c r="A114" s="12">
        <f>Calculator!$D$6+109</f>
        <v>46422</v>
      </c>
      <c r="B114" s="13">
        <f>A114-Calculator!$D$6</f>
        <v>109</v>
      </c>
      <c r="C114" s="14">
        <f t="shared" si="7"/>
        <v>0.29863013698630136</v>
      </c>
      <c r="D114" s="15">
        <f t="shared" si="8"/>
        <v>4.75</v>
      </c>
      <c r="E114" s="15">
        <f t="shared" si="9"/>
        <v>6</v>
      </c>
      <c r="F114" s="15">
        <f t="shared" si="10"/>
        <v>7.25</v>
      </c>
      <c r="G114" s="15">
        <f t="shared" si="11"/>
        <v>9.5</v>
      </c>
      <c r="H114" s="15">
        <f t="shared" si="12"/>
        <v>10.75</v>
      </c>
      <c r="I114" s="15">
        <f t="shared" si="13"/>
        <v>12</v>
      </c>
    </row>
    <row r="115" spans="1:9" x14ac:dyDescent="0.2">
      <c r="A115" s="8">
        <f>Calculator!$D$6+110</f>
        <v>46423</v>
      </c>
      <c r="B115" s="9">
        <f>A115-Calculator!$D$6</f>
        <v>110</v>
      </c>
      <c r="C115" s="10">
        <f t="shared" si="7"/>
        <v>0.30136986301369861</v>
      </c>
      <c r="D115" s="11">
        <f t="shared" si="8"/>
        <v>4.75</v>
      </c>
      <c r="E115" s="11">
        <f t="shared" si="9"/>
        <v>6</v>
      </c>
      <c r="F115" s="11">
        <f t="shared" si="10"/>
        <v>7.25</v>
      </c>
      <c r="G115" s="11">
        <f t="shared" si="11"/>
        <v>9.75</v>
      </c>
      <c r="H115" s="11">
        <f t="shared" si="12"/>
        <v>10.75</v>
      </c>
      <c r="I115" s="11">
        <f t="shared" si="13"/>
        <v>12</v>
      </c>
    </row>
    <row r="116" spans="1:9" x14ac:dyDescent="0.2">
      <c r="A116" s="12">
        <f>Calculator!$D$6+111</f>
        <v>46424</v>
      </c>
      <c r="B116" s="13">
        <f>A116-Calculator!$D$6</f>
        <v>111</v>
      </c>
      <c r="C116" s="14">
        <f t="shared" si="7"/>
        <v>0.30410958904109592</v>
      </c>
      <c r="D116" s="15">
        <f t="shared" si="8"/>
        <v>4.75</v>
      </c>
      <c r="E116" s="15">
        <f t="shared" si="9"/>
        <v>6</v>
      </c>
      <c r="F116" s="15">
        <f t="shared" si="10"/>
        <v>7.25</v>
      </c>
      <c r="G116" s="15">
        <f t="shared" si="11"/>
        <v>9.75</v>
      </c>
      <c r="H116" s="15">
        <f t="shared" si="12"/>
        <v>11</v>
      </c>
      <c r="I116" s="15">
        <f t="shared" si="13"/>
        <v>12.25</v>
      </c>
    </row>
    <row r="117" spans="1:9" x14ac:dyDescent="0.2">
      <c r="A117" s="8">
        <f>Calculator!$D$6+112</f>
        <v>46425</v>
      </c>
      <c r="B117" s="9">
        <f>A117-Calculator!$D$6</f>
        <v>112</v>
      </c>
      <c r="C117" s="10">
        <f t="shared" si="7"/>
        <v>0.30684931506849317</v>
      </c>
      <c r="D117" s="11">
        <f t="shared" si="8"/>
        <v>5</v>
      </c>
      <c r="E117" s="11">
        <f t="shared" si="9"/>
        <v>6.25</v>
      </c>
      <c r="F117" s="11">
        <f t="shared" si="10"/>
        <v>7.25</v>
      </c>
      <c r="G117" s="11">
        <f t="shared" si="11"/>
        <v>9.75</v>
      </c>
      <c r="H117" s="11">
        <f t="shared" si="12"/>
        <v>11</v>
      </c>
      <c r="I117" s="11">
        <f t="shared" si="13"/>
        <v>12.25</v>
      </c>
    </row>
    <row r="118" spans="1:9" x14ac:dyDescent="0.2">
      <c r="A118" s="12">
        <f>Calculator!$D$6+113</f>
        <v>46426</v>
      </c>
      <c r="B118" s="13">
        <f>A118-Calculator!$D$6</f>
        <v>113</v>
      </c>
      <c r="C118" s="14">
        <f t="shared" si="7"/>
        <v>0.30958904109589042</v>
      </c>
      <c r="D118" s="15">
        <f t="shared" si="8"/>
        <v>5</v>
      </c>
      <c r="E118" s="15">
        <f t="shared" si="9"/>
        <v>6.25</v>
      </c>
      <c r="F118" s="15">
        <f t="shared" si="10"/>
        <v>7.5</v>
      </c>
      <c r="G118" s="15">
        <f t="shared" si="11"/>
        <v>10</v>
      </c>
      <c r="H118" s="15">
        <f t="shared" si="12"/>
        <v>11.25</v>
      </c>
      <c r="I118" s="15">
        <f t="shared" si="13"/>
        <v>12.5</v>
      </c>
    </row>
    <row r="119" spans="1:9" x14ac:dyDescent="0.2">
      <c r="A119" s="8">
        <f>Calculator!$D$6+114</f>
        <v>46427</v>
      </c>
      <c r="B119" s="9">
        <f>A119-Calculator!$D$6</f>
        <v>114</v>
      </c>
      <c r="C119" s="10">
        <f t="shared" si="7"/>
        <v>0.31232876712328766</v>
      </c>
      <c r="D119" s="11">
        <f t="shared" si="8"/>
        <v>5</v>
      </c>
      <c r="E119" s="11">
        <f t="shared" si="9"/>
        <v>6.25</v>
      </c>
      <c r="F119" s="11">
        <f t="shared" si="10"/>
        <v>7.5</v>
      </c>
      <c r="G119" s="11">
        <f t="shared" si="11"/>
        <v>10</v>
      </c>
      <c r="H119" s="11">
        <f t="shared" si="12"/>
        <v>11.25</v>
      </c>
      <c r="I119" s="11">
        <f t="shared" si="13"/>
        <v>12.5</v>
      </c>
    </row>
    <row r="120" spans="1:9" x14ac:dyDescent="0.2">
      <c r="A120" s="12">
        <f>Calculator!$D$6+115</f>
        <v>46428</v>
      </c>
      <c r="B120" s="13">
        <f>A120-Calculator!$D$6</f>
        <v>115</v>
      </c>
      <c r="C120" s="14">
        <f t="shared" si="7"/>
        <v>0.31506849315068491</v>
      </c>
      <c r="D120" s="15">
        <f t="shared" si="8"/>
        <v>5</v>
      </c>
      <c r="E120" s="15">
        <f t="shared" si="9"/>
        <v>6.25</v>
      </c>
      <c r="F120" s="15">
        <f t="shared" si="10"/>
        <v>7.5</v>
      </c>
      <c r="G120" s="15">
        <f t="shared" si="11"/>
        <v>10</v>
      </c>
      <c r="H120" s="15">
        <f t="shared" si="12"/>
        <v>11.25</v>
      </c>
      <c r="I120" s="15">
        <f t="shared" si="13"/>
        <v>12.5</v>
      </c>
    </row>
    <row r="121" spans="1:9" x14ac:dyDescent="0.2">
      <c r="A121" s="8">
        <f>Calculator!$D$6+116</f>
        <v>46429</v>
      </c>
      <c r="B121" s="9">
        <f>A121-Calculator!$D$6</f>
        <v>116</v>
      </c>
      <c r="C121" s="10">
        <f t="shared" si="7"/>
        <v>0.31780821917808222</v>
      </c>
      <c r="D121" s="11">
        <f t="shared" si="8"/>
        <v>5</v>
      </c>
      <c r="E121" s="11">
        <f t="shared" si="9"/>
        <v>6.25</v>
      </c>
      <c r="F121" s="11">
        <f t="shared" si="10"/>
        <v>7.75</v>
      </c>
      <c r="G121" s="11">
        <f t="shared" si="11"/>
        <v>10.25</v>
      </c>
      <c r="H121" s="11">
        <f t="shared" si="12"/>
        <v>11.5</v>
      </c>
      <c r="I121" s="11">
        <f t="shared" si="13"/>
        <v>12.75</v>
      </c>
    </row>
    <row r="122" spans="1:9" x14ac:dyDescent="0.2">
      <c r="A122" s="12">
        <f>Calculator!$D$6+117</f>
        <v>46430</v>
      </c>
      <c r="B122" s="13">
        <f>A122-Calculator!$D$6</f>
        <v>117</v>
      </c>
      <c r="C122" s="14">
        <f t="shared" si="7"/>
        <v>0.32054794520547947</v>
      </c>
      <c r="D122" s="15">
        <f t="shared" si="8"/>
        <v>5.25</v>
      </c>
      <c r="E122" s="15">
        <f t="shared" si="9"/>
        <v>6.5</v>
      </c>
      <c r="F122" s="15">
        <f t="shared" si="10"/>
        <v>7.75</v>
      </c>
      <c r="G122" s="15">
        <f t="shared" si="11"/>
        <v>10.25</v>
      </c>
      <c r="H122" s="15">
        <f t="shared" si="12"/>
        <v>11.5</v>
      </c>
      <c r="I122" s="15">
        <f t="shared" si="13"/>
        <v>12.75</v>
      </c>
    </row>
    <row r="123" spans="1:9" x14ac:dyDescent="0.2">
      <c r="A123" s="8">
        <f>Calculator!$D$6+118</f>
        <v>46431</v>
      </c>
      <c r="B123" s="9">
        <f>A123-Calculator!$D$6</f>
        <v>118</v>
      </c>
      <c r="C123" s="10">
        <f t="shared" si="7"/>
        <v>0.32328767123287672</v>
      </c>
      <c r="D123" s="11">
        <f t="shared" si="8"/>
        <v>5.25</v>
      </c>
      <c r="E123" s="11">
        <f t="shared" si="9"/>
        <v>6.5</v>
      </c>
      <c r="F123" s="11">
        <f t="shared" si="10"/>
        <v>7.75</v>
      </c>
      <c r="G123" s="11">
        <f t="shared" si="11"/>
        <v>10.25</v>
      </c>
      <c r="H123" s="11">
        <f t="shared" si="12"/>
        <v>11.75</v>
      </c>
      <c r="I123" s="11">
        <f t="shared" si="13"/>
        <v>13</v>
      </c>
    </row>
    <row r="124" spans="1:9" x14ac:dyDescent="0.2">
      <c r="A124" s="12">
        <f>Calculator!$D$6+119</f>
        <v>46432</v>
      </c>
      <c r="B124" s="13">
        <f>A124-Calculator!$D$6</f>
        <v>119</v>
      </c>
      <c r="C124" s="14">
        <f t="shared" si="7"/>
        <v>0.32602739726027397</v>
      </c>
      <c r="D124" s="15">
        <f t="shared" si="8"/>
        <v>5.25</v>
      </c>
      <c r="E124" s="15">
        <f t="shared" si="9"/>
        <v>6.5</v>
      </c>
      <c r="F124" s="15">
        <f t="shared" si="10"/>
        <v>7.75</v>
      </c>
      <c r="G124" s="15">
        <f t="shared" si="11"/>
        <v>10.5</v>
      </c>
      <c r="H124" s="15">
        <f t="shared" si="12"/>
        <v>11.75</v>
      </c>
      <c r="I124" s="15">
        <f t="shared" si="13"/>
        <v>13</v>
      </c>
    </row>
    <row r="125" spans="1:9" x14ac:dyDescent="0.2">
      <c r="A125" s="8">
        <f>Calculator!$D$6+120</f>
        <v>46433</v>
      </c>
      <c r="B125" s="9">
        <f>A125-Calculator!$D$6</f>
        <v>120</v>
      </c>
      <c r="C125" s="10">
        <f t="shared" si="7"/>
        <v>0.32876712328767121</v>
      </c>
      <c r="D125" s="11">
        <f t="shared" si="8"/>
        <v>5.25</v>
      </c>
      <c r="E125" s="11">
        <f t="shared" si="9"/>
        <v>6.5</v>
      </c>
      <c r="F125" s="11">
        <f t="shared" si="10"/>
        <v>8</v>
      </c>
      <c r="G125" s="11">
        <f t="shared" si="11"/>
        <v>10.5</v>
      </c>
      <c r="H125" s="11">
        <f t="shared" si="12"/>
        <v>11.75</v>
      </c>
      <c r="I125" s="11">
        <f t="shared" si="13"/>
        <v>13.25</v>
      </c>
    </row>
    <row r="126" spans="1:9" x14ac:dyDescent="0.2">
      <c r="A126" s="12">
        <f>Calculator!$D$6+121</f>
        <v>46434</v>
      </c>
      <c r="B126" s="13">
        <f>A126-Calculator!$D$6</f>
        <v>121</v>
      </c>
      <c r="C126" s="14">
        <f t="shared" si="7"/>
        <v>0.33150684931506852</v>
      </c>
      <c r="D126" s="15">
        <f t="shared" si="8"/>
        <v>5.25</v>
      </c>
      <c r="E126" s="15">
        <f t="shared" si="9"/>
        <v>6.75</v>
      </c>
      <c r="F126" s="15">
        <f t="shared" si="10"/>
        <v>8</v>
      </c>
      <c r="G126" s="15">
        <f t="shared" si="11"/>
        <v>10.5</v>
      </c>
      <c r="H126" s="15">
        <f t="shared" si="12"/>
        <v>12</v>
      </c>
      <c r="I126" s="15">
        <f t="shared" si="13"/>
        <v>13.25</v>
      </c>
    </row>
    <row r="127" spans="1:9" x14ac:dyDescent="0.2">
      <c r="A127" s="8">
        <f>Calculator!$D$6+122</f>
        <v>46435</v>
      </c>
      <c r="B127" s="9">
        <f>A127-Calculator!$D$6</f>
        <v>122</v>
      </c>
      <c r="C127" s="10">
        <f t="shared" si="7"/>
        <v>0.33424657534246577</v>
      </c>
      <c r="D127" s="11">
        <f t="shared" si="8"/>
        <v>5.25</v>
      </c>
      <c r="E127" s="11">
        <f t="shared" si="9"/>
        <v>6.75</v>
      </c>
      <c r="F127" s="11">
        <f t="shared" si="10"/>
        <v>8</v>
      </c>
      <c r="G127" s="11">
        <f t="shared" si="11"/>
        <v>10.75</v>
      </c>
      <c r="H127" s="11">
        <f t="shared" si="12"/>
        <v>12</v>
      </c>
      <c r="I127" s="11">
        <f t="shared" si="13"/>
        <v>13.25</v>
      </c>
    </row>
    <row r="128" spans="1:9" x14ac:dyDescent="0.2">
      <c r="A128" s="12">
        <f>Calculator!$D$6+123</f>
        <v>46436</v>
      </c>
      <c r="B128" s="13">
        <f>A128-Calculator!$D$6</f>
        <v>123</v>
      </c>
      <c r="C128" s="14">
        <f t="shared" si="7"/>
        <v>0.33698630136986302</v>
      </c>
      <c r="D128" s="15">
        <f t="shared" si="8"/>
        <v>5.5</v>
      </c>
      <c r="E128" s="15">
        <f t="shared" si="9"/>
        <v>6.75</v>
      </c>
      <c r="F128" s="15">
        <f t="shared" si="10"/>
        <v>8</v>
      </c>
      <c r="G128" s="15">
        <f t="shared" si="11"/>
        <v>10.75</v>
      </c>
      <c r="H128" s="15">
        <f t="shared" si="12"/>
        <v>12.25</v>
      </c>
      <c r="I128" s="15">
        <f t="shared" si="13"/>
        <v>13.5</v>
      </c>
    </row>
    <row r="129" spans="1:9" x14ac:dyDescent="0.2">
      <c r="A129" s="8">
        <f>Calculator!$D$6+124</f>
        <v>46437</v>
      </c>
      <c r="B129" s="9">
        <f>A129-Calculator!$D$6</f>
        <v>124</v>
      </c>
      <c r="C129" s="10">
        <f t="shared" si="7"/>
        <v>0.33972602739726027</v>
      </c>
      <c r="D129" s="11">
        <f t="shared" si="8"/>
        <v>5.5</v>
      </c>
      <c r="E129" s="11">
        <f t="shared" si="9"/>
        <v>6.75</v>
      </c>
      <c r="F129" s="11">
        <f t="shared" si="10"/>
        <v>8.25</v>
      </c>
      <c r="G129" s="11">
        <f t="shared" si="11"/>
        <v>10.75</v>
      </c>
      <c r="H129" s="11">
        <f t="shared" si="12"/>
        <v>12.25</v>
      </c>
      <c r="I129" s="11">
        <f t="shared" si="13"/>
        <v>13.5</v>
      </c>
    </row>
    <row r="130" spans="1:9" x14ac:dyDescent="0.2">
      <c r="A130" s="12">
        <f>Calculator!$D$6+125</f>
        <v>46438</v>
      </c>
      <c r="B130" s="13">
        <f>A130-Calculator!$D$6</f>
        <v>125</v>
      </c>
      <c r="C130" s="14">
        <f t="shared" si="7"/>
        <v>0.34246575342465752</v>
      </c>
      <c r="D130" s="15">
        <f t="shared" si="8"/>
        <v>5.5</v>
      </c>
      <c r="E130" s="15">
        <f t="shared" si="9"/>
        <v>6.75</v>
      </c>
      <c r="F130" s="15">
        <f t="shared" si="10"/>
        <v>8.25</v>
      </c>
      <c r="G130" s="15">
        <f t="shared" si="11"/>
        <v>11</v>
      </c>
      <c r="H130" s="15">
        <f t="shared" si="12"/>
        <v>12.25</v>
      </c>
      <c r="I130" s="15">
        <f t="shared" si="13"/>
        <v>13.75</v>
      </c>
    </row>
    <row r="131" spans="1:9" x14ac:dyDescent="0.2">
      <c r="A131" s="8">
        <f>Calculator!$D$6+126</f>
        <v>46439</v>
      </c>
      <c r="B131" s="9">
        <f>A131-Calculator!$D$6</f>
        <v>126</v>
      </c>
      <c r="C131" s="10">
        <f t="shared" si="7"/>
        <v>0.34520547945205482</v>
      </c>
      <c r="D131" s="11">
        <f t="shared" si="8"/>
        <v>5.5</v>
      </c>
      <c r="E131" s="11">
        <f t="shared" si="9"/>
        <v>7</v>
      </c>
      <c r="F131" s="11">
        <f t="shared" si="10"/>
        <v>8.25</v>
      </c>
      <c r="G131" s="11">
        <f t="shared" si="11"/>
        <v>11</v>
      </c>
      <c r="H131" s="11">
        <f t="shared" si="12"/>
        <v>12.5</v>
      </c>
      <c r="I131" s="11">
        <f t="shared" si="13"/>
        <v>13.75</v>
      </c>
    </row>
    <row r="132" spans="1:9" x14ac:dyDescent="0.2">
      <c r="A132" s="12">
        <f>Calculator!$D$6+127</f>
        <v>46440</v>
      </c>
      <c r="B132" s="13">
        <f>A132-Calculator!$D$6</f>
        <v>127</v>
      </c>
      <c r="C132" s="14">
        <f t="shared" si="7"/>
        <v>0.34794520547945207</v>
      </c>
      <c r="D132" s="15">
        <f t="shared" si="8"/>
        <v>5.5</v>
      </c>
      <c r="E132" s="15">
        <f t="shared" si="9"/>
        <v>7</v>
      </c>
      <c r="F132" s="15">
        <f t="shared" si="10"/>
        <v>8.25</v>
      </c>
      <c r="G132" s="15">
        <f t="shared" si="11"/>
        <v>11.25</v>
      </c>
      <c r="H132" s="15">
        <f t="shared" si="12"/>
        <v>12.5</v>
      </c>
      <c r="I132" s="15">
        <f t="shared" si="13"/>
        <v>14</v>
      </c>
    </row>
    <row r="133" spans="1:9" x14ac:dyDescent="0.2">
      <c r="A133" s="8">
        <f>Calculator!$D$6+128</f>
        <v>46441</v>
      </c>
      <c r="B133" s="9">
        <f>A133-Calculator!$D$6</f>
        <v>128</v>
      </c>
      <c r="C133" s="10">
        <f t="shared" ref="C133:C196" si="14">B133/365</f>
        <v>0.35068493150684932</v>
      </c>
      <c r="D133" s="11">
        <f t="shared" ref="D133:D196" si="15">MROUND(16*$C133,0.25)</f>
        <v>5.5</v>
      </c>
      <c r="E133" s="11">
        <f t="shared" ref="E133:E196" si="16">MROUND(20*$C133,0.25)</f>
        <v>7</v>
      </c>
      <c r="F133" s="11">
        <f t="shared" ref="F133:F196" si="17">MROUND(24*$C133,0.25)</f>
        <v>8.5</v>
      </c>
      <c r="G133" s="11">
        <f t="shared" ref="G133:G196" si="18">MROUND(32*$C133,0.25)</f>
        <v>11.25</v>
      </c>
      <c r="H133" s="11">
        <f t="shared" ref="H133:H196" si="19">MROUND(36*$C133,0.25)</f>
        <v>12.5</v>
      </c>
      <c r="I133" s="11">
        <f t="shared" ref="I133:I196" si="20">MROUND(40*$C133,0.25)</f>
        <v>14</v>
      </c>
    </row>
    <row r="134" spans="1:9" x14ac:dyDescent="0.2">
      <c r="A134" s="12">
        <f>Calculator!$D$6+129</f>
        <v>46442</v>
      </c>
      <c r="B134" s="13">
        <f>A134-Calculator!$D$6</f>
        <v>129</v>
      </c>
      <c r="C134" s="14">
        <f t="shared" si="14"/>
        <v>0.35342465753424657</v>
      </c>
      <c r="D134" s="15">
        <f t="shared" si="15"/>
        <v>5.75</v>
      </c>
      <c r="E134" s="15">
        <f t="shared" si="16"/>
        <v>7</v>
      </c>
      <c r="F134" s="15">
        <f t="shared" si="17"/>
        <v>8.5</v>
      </c>
      <c r="G134" s="15">
        <f t="shared" si="18"/>
        <v>11.25</v>
      </c>
      <c r="H134" s="15">
        <f t="shared" si="19"/>
        <v>12.75</v>
      </c>
      <c r="I134" s="15">
        <f t="shared" si="20"/>
        <v>14.25</v>
      </c>
    </row>
    <row r="135" spans="1:9" x14ac:dyDescent="0.2">
      <c r="A135" s="8">
        <f>Calculator!$D$6+130</f>
        <v>46443</v>
      </c>
      <c r="B135" s="9">
        <f>A135-Calculator!$D$6</f>
        <v>130</v>
      </c>
      <c r="C135" s="10">
        <f t="shared" si="14"/>
        <v>0.35616438356164382</v>
      </c>
      <c r="D135" s="11">
        <f t="shared" si="15"/>
        <v>5.75</v>
      </c>
      <c r="E135" s="11">
        <f t="shared" si="16"/>
        <v>7</v>
      </c>
      <c r="F135" s="11">
        <f t="shared" si="17"/>
        <v>8.5</v>
      </c>
      <c r="G135" s="11">
        <f t="shared" si="18"/>
        <v>11.5</v>
      </c>
      <c r="H135" s="11">
        <f t="shared" si="19"/>
        <v>12.75</v>
      </c>
      <c r="I135" s="11">
        <f t="shared" si="20"/>
        <v>14.25</v>
      </c>
    </row>
    <row r="136" spans="1:9" x14ac:dyDescent="0.2">
      <c r="A136" s="12">
        <f>Calculator!$D$6+131</f>
        <v>46444</v>
      </c>
      <c r="B136" s="13">
        <f>A136-Calculator!$D$6</f>
        <v>131</v>
      </c>
      <c r="C136" s="14">
        <f t="shared" si="14"/>
        <v>0.35890410958904112</v>
      </c>
      <c r="D136" s="15">
        <f t="shared" si="15"/>
        <v>5.75</v>
      </c>
      <c r="E136" s="15">
        <f t="shared" si="16"/>
        <v>7.25</v>
      </c>
      <c r="F136" s="15">
        <f t="shared" si="17"/>
        <v>8.5</v>
      </c>
      <c r="G136" s="15">
        <f t="shared" si="18"/>
        <v>11.5</v>
      </c>
      <c r="H136" s="15">
        <f t="shared" si="19"/>
        <v>13</v>
      </c>
      <c r="I136" s="15">
        <f t="shared" si="20"/>
        <v>14.25</v>
      </c>
    </row>
    <row r="137" spans="1:9" x14ac:dyDescent="0.2">
      <c r="A137" s="8">
        <f>Calculator!$D$6+132</f>
        <v>46445</v>
      </c>
      <c r="B137" s="9">
        <f>A137-Calculator!$D$6</f>
        <v>132</v>
      </c>
      <c r="C137" s="10">
        <f t="shared" si="14"/>
        <v>0.36164383561643837</v>
      </c>
      <c r="D137" s="11">
        <f t="shared" si="15"/>
        <v>5.75</v>
      </c>
      <c r="E137" s="11">
        <f t="shared" si="16"/>
        <v>7.25</v>
      </c>
      <c r="F137" s="11">
        <f t="shared" si="17"/>
        <v>8.75</v>
      </c>
      <c r="G137" s="11">
        <f t="shared" si="18"/>
        <v>11.5</v>
      </c>
      <c r="H137" s="11">
        <f t="shared" si="19"/>
        <v>13</v>
      </c>
      <c r="I137" s="11">
        <f t="shared" si="20"/>
        <v>14.5</v>
      </c>
    </row>
    <row r="138" spans="1:9" x14ac:dyDescent="0.2">
      <c r="A138" s="12">
        <f>Calculator!$D$6+133</f>
        <v>46446</v>
      </c>
      <c r="B138" s="13">
        <f>A138-Calculator!$D$6</f>
        <v>133</v>
      </c>
      <c r="C138" s="14">
        <f t="shared" si="14"/>
        <v>0.36438356164383562</v>
      </c>
      <c r="D138" s="15">
        <f t="shared" si="15"/>
        <v>5.75</v>
      </c>
      <c r="E138" s="15">
        <f t="shared" si="16"/>
        <v>7.25</v>
      </c>
      <c r="F138" s="15">
        <f t="shared" si="17"/>
        <v>8.75</v>
      </c>
      <c r="G138" s="15">
        <f t="shared" si="18"/>
        <v>11.75</v>
      </c>
      <c r="H138" s="15">
        <f t="shared" si="19"/>
        <v>13</v>
      </c>
      <c r="I138" s="15">
        <f t="shared" si="20"/>
        <v>14.5</v>
      </c>
    </row>
    <row r="139" spans="1:9" x14ac:dyDescent="0.2">
      <c r="A139" s="8">
        <f>Calculator!$D$6+134</f>
        <v>46447</v>
      </c>
      <c r="B139" s="9">
        <f>A139-Calculator!$D$6</f>
        <v>134</v>
      </c>
      <c r="C139" s="10">
        <f t="shared" si="14"/>
        <v>0.36712328767123287</v>
      </c>
      <c r="D139" s="11">
        <f t="shared" si="15"/>
        <v>5.75</v>
      </c>
      <c r="E139" s="11">
        <f t="shared" si="16"/>
        <v>7.25</v>
      </c>
      <c r="F139" s="11">
        <f t="shared" si="17"/>
        <v>8.75</v>
      </c>
      <c r="G139" s="11">
        <f t="shared" si="18"/>
        <v>11.75</v>
      </c>
      <c r="H139" s="11">
        <f t="shared" si="19"/>
        <v>13.25</v>
      </c>
      <c r="I139" s="11">
        <f t="shared" si="20"/>
        <v>14.75</v>
      </c>
    </row>
    <row r="140" spans="1:9" x14ac:dyDescent="0.2">
      <c r="A140" s="12">
        <f>Calculator!$D$6+135</f>
        <v>46448</v>
      </c>
      <c r="B140" s="13">
        <f>A140-Calculator!$D$6</f>
        <v>135</v>
      </c>
      <c r="C140" s="14">
        <f t="shared" si="14"/>
        <v>0.36986301369863012</v>
      </c>
      <c r="D140" s="15">
        <f t="shared" si="15"/>
        <v>6</v>
      </c>
      <c r="E140" s="15">
        <f t="shared" si="16"/>
        <v>7.5</v>
      </c>
      <c r="F140" s="15">
        <f t="shared" si="17"/>
        <v>9</v>
      </c>
      <c r="G140" s="15">
        <f t="shared" si="18"/>
        <v>11.75</v>
      </c>
      <c r="H140" s="15">
        <f t="shared" si="19"/>
        <v>13.25</v>
      </c>
      <c r="I140" s="15">
        <f t="shared" si="20"/>
        <v>14.75</v>
      </c>
    </row>
    <row r="141" spans="1:9" x14ac:dyDescent="0.2">
      <c r="A141" s="8">
        <f>Calculator!$D$6+136</f>
        <v>46449</v>
      </c>
      <c r="B141" s="9">
        <f>A141-Calculator!$D$6</f>
        <v>136</v>
      </c>
      <c r="C141" s="10">
        <f t="shared" si="14"/>
        <v>0.37260273972602742</v>
      </c>
      <c r="D141" s="11">
        <f t="shared" si="15"/>
        <v>6</v>
      </c>
      <c r="E141" s="11">
        <f t="shared" si="16"/>
        <v>7.5</v>
      </c>
      <c r="F141" s="11">
        <f t="shared" si="17"/>
        <v>9</v>
      </c>
      <c r="G141" s="11">
        <f t="shared" si="18"/>
        <v>12</v>
      </c>
      <c r="H141" s="11">
        <f t="shared" si="19"/>
        <v>13.5</v>
      </c>
      <c r="I141" s="11">
        <f t="shared" si="20"/>
        <v>15</v>
      </c>
    </row>
    <row r="142" spans="1:9" x14ac:dyDescent="0.2">
      <c r="A142" s="12">
        <f>Calculator!$D$6+137</f>
        <v>46450</v>
      </c>
      <c r="B142" s="13">
        <f>A142-Calculator!$D$6</f>
        <v>137</v>
      </c>
      <c r="C142" s="14">
        <f t="shared" si="14"/>
        <v>0.37534246575342467</v>
      </c>
      <c r="D142" s="15">
        <f t="shared" si="15"/>
        <v>6</v>
      </c>
      <c r="E142" s="15">
        <f t="shared" si="16"/>
        <v>7.5</v>
      </c>
      <c r="F142" s="15">
        <f t="shared" si="17"/>
        <v>9</v>
      </c>
      <c r="G142" s="15">
        <f t="shared" si="18"/>
        <v>12</v>
      </c>
      <c r="H142" s="15">
        <f t="shared" si="19"/>
        <v>13.5</v>
      </c>
      <c r="I142" s="15">
        <f t="shared" si="20"/>
        <v>15</v>
      </c>
    </row>
    <row r="143" spans="1:9" x14ac:dyDescent="0.2">
      <c r="A143" s="8">
        <f>Calculator!$D$6+138</f>
        <v>46451</v>
      </c>
      <c r="B143" s="9">
        <f>A143-Calculator!$D$6</f>
        <v>138</v>
      </c>
      <c r="C143" s="10">
        <f t="shared" si="14"/>
        <v>0.37808219178082192</v>
      </c>
      <c r="D143" s="11">
        <f t="shared" si="15"/>
        <v>6</v>
      </c>
      <c r="E143" s="11">
        <f t="shared" si="16"/>
        <v>7.5</v>
      </c>
      <c r="F143" s="11">
        <f t="shared" si="17"/>
        <v>9</v>
      </c>
      <c r="G143" s="11">
        <f t="shared" si="18"/>
        <v>12</v>
      </c>
      <c r="H143" s="11">
        <f t="shared" si="19"/>
        <v>13.5</v>
      </c>
      <c r="I143" s="11">
        <f t="shared" si="20"/>
        <v>15</v>
      </c>
    </row>
    <row r="144" spans="1:9" x14ac:dyDescent="0.2">
      <c r="A144" s="12">
        <f>Calculator!$D$6+139</f>
        <v>46452</v>
      </c>
      <c r="B144" s="13">
        <f>A144-Calculator!$D$6</f>
        <v>139</v>
      </c>
      <c r="C144" s="14">
        <f t="shared" si="14"/>
        <v>0.38082191780821917</v>
      </c>
      <c r="D144" s="15">
        <f t="shared" si="15"/>
        <v>6</v>
      </c>
      <c r="E144" s="15">
        <f t="shared" si="16"/>
        <v>7.5</v>
      </c>
      <c r="F144" s="15">
        <f t="shared" si="17"/>
        <v>9.25</v>
      </c>
      <c r="G144" s="15">
        <f t="shared" si="18"/>
        <v>12.25</v>
      </c>
      <c r="H144" s="15">
        <f t="shared" si="19"/>
        <v>13.75</v>
      </c>
      <c r="I144" s="15">
        <f t="shared" si="20"/>
        <v>15.25</v>
      </c>
    </row>
    <row r="145" spans="1:9" x14ac:dyDescent="0.2">
      <c r="A145" s="8">
        <f>Calculator!$D$6+140</f>
        <v>46453</v>
      </c>
      <c r="B145" s="9">
        <f>A145-Calculator!$D$6</f>
        <v>140</v>
      </c>
      <c r="C145" s="10">
        <f t="shared" si="14"/>
        <v>0.38356164383561642</v>
      </c>
      <c r="D145" s="11">
        <f t="shared" si="15"/>
        <v>6.25</v>
      </c>
      <c r="E145" s="11">
        <f t="shared" si="16"/>
        <v>7.75</v>
      </c>
      <c r="F145" s="11">
        <f t="shared" si="17"/>
        <v>9.25</v>
      </c>
      <c r="G145" s="11">
        <f t="shared" si="18"/>
        <v>12.25</v>
      </c>
      <c r="H145" s="11">
        <f t="shared" si="19"/>
        <v>13.75</v>
      </c>
      <c r="I145" s="11">
        <f t="shared" si="20"/>
        <v>15.25</v>
      </c>
    </row>
    <row r="146" spans="1:9" x14ac:dyDescent="0.2">
      <c r="A146" s="12">
        <f>Calculator!$D$6+141</f>
        <v>46454</v>
      </c>
      <c r="B146" s="13">
        <f>A146-Calculator!$D$6</f>
        <v>141</v>
      </c>
      <c r="C146" s="14">
        <f t="shared" si="14"/>
        <v>0.38630136986301372</v>
      </c>
      <c r="D146" s="15">
        <f t="shared" si="15"/>
        <v>6.25</v>
      </c>
      <c r="E146" s="15">
        <f t="shared" si="16"/>
        <v>7.75</v>
      </c>
      <c r="F146" s="15">
        <f t="shared" si="17"/>
        <v>9.25</v>
      </c>
      <c r="G146" s="15">
        <f t="shared" si="18"/>
        <v>12.25</v>
      </c>
      <c r="H146" s="15">
        <f t="shared" si="19"/>
        <v>14</v>
      </c>
      <c r="I146" s="15">
        <f t="shared" si="20"/>
        <v>15.5</v>
      </c>
    </row>
    <row r="147" spans="1:9" x14ac:dyDescent="0.2">
      <c r="A147" s="8">
        <f>Calculator!$D$6+142</f>
        <v>46455</v>
      </c>
      <c r="B147" s="9">
        <f>A147-Calculator!$D$6</f>
        <v>142</v>
      </c>
      <c r="C147" s="10">
        <f t="shared" si="14"/>
        <v>0.38904109589041097</v>
      </c>
      <c r="D147" s="11">
        <f t="shared" si="15"/>
        <v>6.25</v>
      </c>
      <c r="E147" s="11">
        <f t="shared" si="16"/>
        <v>7.75</v>
      </c>
      <c r="F147" s="11">
        <f t="shared" si="17"/>
        <v>9.25</v>
      </c>
      <c r="G147" s="11">
        <f t="shared" si="18"/>
        <v>12.5</v>
      </c>
      <c r="H147" s="11">
        <f t="shared" si="19"/>
        <v>14</v>
      </c>
      <c r="I147" s="11">
        <f t="shared" si="20"/>
        <v>15.5</v>
      </c>
    </row>
    <row r="148" spans="1:9" x14ac:dyDescent="0.2">
      <c r="A148" s="12">
        <f>Calculator!$D$6+143</f>
        <v>46456</v>
      </c>
      <c r="B148" s="13">
        <f>A148-Calculator!$D$6</f>
        <v>143</v>
      </c>
      <c r="C148" s="14">
        <f t="shared" si="14"/>
        <v>0.39178082191780822</v>
      </c>
      <c r="D148" s="15">
        <f t="shared" si="15"/>
        <v>6.25</v>
      </c>
      <c r="E148" s="15">
        <f t="shared" si="16"/>
        <v>7.75</v>
      </c>
      <c r="F148" s="15">
        <f t="shared" si="17"/>
        <v>9.5</v>
      </c>
      <c r="G148" s="15">
        <f t="shared" si="18"/>
        <v>12.5</v>
      </c>
      <c r="H148" s="15">
        <f t="shared" si="19"/>
        <v>14</v>
      </c>
      <c r="I148" s="15">
        <f t="shared" si="20"/>
        <v>15.75</v>
      </c>
    </row>
    <row r="149" spans="1:9" x14ac:dyDescent="0.2">
      <c r="A149" s="8">
        <f>Calculator!$D$6+144</f>
        <v>46457</v>
      </c>
      <c r="B149" s="9">
        <f>A149-Calculator!$D$6</f>
        <v>144</v>
      </c>
      <c r="C149" s="10">
        <f t="shared" si="14"/>
        <v>0.39452054794520547</v>
      </c>
      <c r="D149" s="11">
        <f t="shared" si="15"/>
        <v>6.25</v>
      </c>
      <c r="E149" s="11">
        <f t="shared" si="16"/>
        <v>8</v>
      </c>
      <c r="F149" s="11">
        <f t="shared" si="17"/>
        <v>9.5</v>
      </c>
      <c r="G149" s="11">
        <f t="shared" si="18"/>
        <v>12.5</v>
      </c>
      <c r="H149" s="11">
        <f t="shared" si="19"/>
        <v>14.25</v>
      </c>
      <c r="I149" s="11">
        <f t="shared" si="20"/>
        <v>15.75</v>
      </c>
    </row>
    <row r="150" spans="1:9" x14ac:dyDescent="0.2">
      <c r="A150" s="12">
        <f>Calculator!$D$6+145</f>
        <v>46458</v>
      </c>
      <c r="B150" s="13">
        <f>A150-Calculator!$D$6</f>
        <v>145</v>
      </c>
      <c r="C150" s="14">
        <f t="shared" si="14"/>
        <v>0.39726027397260272</v>
      </c>
      <c r="D150" s="15">
        <f t="shared" si="15"/>
        <v>6.25</v>
      </c>
      <c r="E150" s="15">
        <f t="shared" si="16"/>
        <v>8</v>
      </c>
      <c r="F150" s="15">
        <f t="shared" si="17"/>
        <v>9.5</v>
      </c>
      <c r="G150" s="15">
        <f t="shared" si="18"/>
        <v>12.75</v>
      </c>
      <c r="H150" s="15">
        <f t="shared" si="19"/>
        <v>14.25</v>
      </c>
      <c r="I150" s="15">
        <f t="shared" si="20"/>
        <v>16</v>
      </c>
    </row>
    <row r="151" spans="1:9" x14ac:dyDescent="0.2">
      <c r="A151" s="8">
        <f>Calculator!$D$6+146</f>
        <v>46459</v>
      </c>
      <c r="B151" s="9">
        <f>A151-Calculator!$D$6</f>
        <v>146</v>
      </c>
      <c r="C151" s="10">
        <f t="shared" si="14"/>
        <v>0.4</v>
      </c>
      <c r="D151" s="11">
        <f t="shared" si="15"/>
        <v>6.5</v>
      </c>
      <c r="E151" s="11">
        <f t="shared" si="16"/>
        <v>8</v>
      </c>
      <c r="F151" s="11">
        <f t="shared" si="17"/>
        <v>9.5</v>
      </c>
      <c r="G151" s="11">
        <f t="shared" si="18"/>
        <v>12.75</v>
      </c>
      <c r="H151" s="11">
        <f t="shared" si="19"/>
        <v>14.5</v>
      </c>
      <c r="I151" s="11">
        <f t="shared" si="20"/>
        <v>16</v>
      </c>
    </row>
    <row r="152" spans="1:9" x14ac:dyDescent="0.2">
      <c r="A152" s="12">
        <f>Calculator!$D$6+147</f>
        <v>46460</v>
      </c>
      <c r="B152" s="13">
        <f>A152-Calculator!$D$6</f>
        <v>147</v>
      </c>
      <c r="C152" s="14">
        <f t="shared" si="14"/>
        <v>0.40273972602739727</v>
      </c>
      <c r="D152" s="15">
        <f t="shared" si="15"/>
        <v>6.5</v>
      </c>
      <c r="E152" s="15">
        <f t="shared" si="16"/>
        <v>8</v>
      </c>
      <c r="F152" s="15">
        <f t="shared" si="17"/>
        <v>9.75</v>
      </c>
      <c r="G152" s="15">
        <f t="shared" si="18"/>
        <v>13</v>
      </c>
      <c r="H152" s="15">
        <f t="shared" si="19"/>
        <v>14.5</v>
      </c>
      <c r="I152" s="15">
        <f t="shared" si="20"/>
        <v>16</v>
      </c>
    </row>
    <row r="153" spans="1:9" x14ac:dyDescent="0.2">
      <c r="A153" s="8">
        <f>Calculator!$D$6+148</f>
        <v>46461</v>
      </c>
      <c r="B153" s="9">
        <f>A153-Calculator!$D$6</f>
        <v>148</v>
      </c>
      <c r="C153" s="10">
        <f t="shared" si="14"/>
        <v>0.40547945205479452</v>
      </c>
      <c r="D153" s="11">
        <f t="shared" si="15"/>
        <v>6.5</v>
      </c>
      <c r="E153" s="11">
        <f t="shared" si="16"/>
        <v>8</v>
      </c>
      <c r="F153" s="11">
        <f t="shared" si="17"/>
        <v>9.75</v>
      </c>
      <c r="G153" s="11">
        <f t="shared" si="18"/>
        <v>13</v>
      </c>
      <c r="H153" s="11">
        <f t="shared" si="19"/>
        <v>14.5</v>
      </c>
      <c r="I153" s="11">
        <f t="shared" si="20"/>
        <v>16.25</v>
      </c>
    </row>
    <row r="154" spans="1:9" x14ac:dyDescent="0.2">
      <c r="A154" s="12">
        <f>Calculator!$D$6+149</f>
        <v>46462</v>
      </c>
      <c r="B154" s="13">
        <f>A154-Calculator!$D$6</f>
        <v>149</v>
      </c>
      <c r="C154" s="14">
        <f t="shared" si="14"/>
        <v>0.40821917808219177</v>
      </c>
      <c r="D154" s="15">
        <f t="shared" si="15"/>
        <v>6.5</v>
      </c>
      <c r="E154" s="15">
        <f t="shared" si="16"/>
        <v>8.25</v>
      </c>
      <c r="F154" s="15">
        <f t="shared" si="17"/>
        <v>9.75</v>
      </c>
      <c r="G154" s="15">
        <f t="shared" si="18"/>
        <v>13</v>
      </c>
      <c r="H154" s="15">
        <f t="shared" si="19"/>
        <v>14.75</v>
      </c>
      <c r="I154" s="15">
        <f t="shared" si="20"/>
        <v>16.25</v>
      </c>
    </row>
    <row r="155" spans="1:9" x14ac:dyDescent="0.2">
      <c r="A155" s="8">
        <f>Calculator!$D$6+150</f>
        <v>46463</v>
      </c>
      <c r="B155" s="9">
        <f>A155-Calculator!$D$6</f>
        <v>150</v>
      </c>
      <c r="C155" s="10">
        <f t="shared" si="14"/>
        <v>0.41095890410958902</v>
      </c>
      <c r="D155" s="11">
        <f t="shared" si="15"/>
        <v>6.5</v>
      </c>
      <c r="E155" s="11">
        <f t="shared" si="16"/>
        <v>8.25</v>
      </c>
      <c r="F155" s="11">
        <f t="shared" si="17"/>
        <v>9.75</v>
      </c>
      <c r="G155" s="11">
        <f t="shared" si="18"/>
        <v>13.25</v>
      </c>
      <c r="H155" s="11">
        <f t="shared" si="19"/>
        <v>14.75</v>
      </c>
      <c r="I155" s="11">
        <f t="shared" si="20"/>
        <v>16.5</v>
      </c>
    </row>
    <row r="156" spans="1:9" x14ac:dyDescent="0.2">
      <c r="A156" s="12">
        <f>Calculator!$D$6+151</f>
        <v>46464</v>
      </c>
      <c r="B156" s="13">
        <f>A156-Calculator!$D$6</f>
        <v>151</v>
      </c>
      <c r="C156" s="14">
        <f t="shared" si="14"/>
        <v>0.41369863013698632</v>
      </c>
      <c r="D156" s="15">
        <f t="shared" si="15"/>
        <v>6.5</v>
      </c>
      <c r="E156" s="15">
        <f t="shared" si="16"/>
        <v>8.25</v>
      </c>
      <c r="F156" s="15">
        <f t="shared" si="17"/>
        <v>10</v>
      </c>
      <c r="G156" s="15">
        <f t="shared" si="18"/>
        <v>13.25</v>
      </c>
      <c r="H156" s="15">
        <f t="shared" si="19"/>
        <v>15</v>
      </c>
      <c r="I156" s="15">
        <f t="shared" si="20"/>
        <v>16.5</v>
      </c>
    </row>
    <row r="157" spans="1:9" x14ac:dyDescent="0.2">
      <c r="A157" s="8">
        <f>Calculator!$D$6+152</f>
        <v>46465</v>
      </c>
      <c r="B157" s="9">
        <f>A157-Calculator!$D$6</f>
        <v>152</v>
      </c>
      <c r="C157" s="10">
        <f t="shared" si="14"/>
        <v>0.41643835616438357</v>
      </c>
      <c r="D157" s="11">
        <f t="shared" si="15"/>
        <v>6.75</v>
      </c>
      <c r="E157" s="11">
        <f t="shared" si="16"/>
        <v>8.25</v>
      </c>
      <c r="F157" s="11">
        <f t="shared" si="17"/>
        <v>10</v>
      </c>
      <c r="G157" s="11">
        <f t="shared" si="18"/>
        <v>13.25</v>
      </c>
      <c r="H157" s="11">
        <f t="shared" si="19"/>
        <v>15</v>
      </c>
      <c r="I157" s="11">
        <f t="shared" si="20"/>
        <v>16.75</v>
      </c>
    </row>
    <row r="158" spans="1:9" x14ac:dyDescent="0.2">
      <c r="A158" s="12">
        <f>Calculator!$D$6+153</f>
        <v>46466</v>
      </c>
      <c r="B158" s="13">
        <f>A158-Calculator!$D$6</f>
        <v>153</v>
      </c>
      <c r="C158" s="14">
        <f t="shared" si="14"/>
        <v>0.41917808219178082</v>
      </c>
      <c r="D158" s="15">
        <f t="shared" si="15"/>
        <v>6.75</v>
      </c>
      <c r="E158" s="15">
        <f t="shared" si="16"/>
        <v>8.5</v>
      </c>
      <c r="F158" s="15">
        <f t="shared" si="17"/>
        <v>10</v>
      </c>
      <c r="G158" s="15">
        <f t="shared" si="18"/>
        <v>13.5</v>
      </c>
      <c r="H158" s="15">
        <f t="shared" si="19"/>
        <v>15</v>
      </c>
      <c r="I158" s="15">
        <f t="shared" si="20"/>
        <v>16.75</v>
      </c>
    </row>
    <row r="159" spans="1:9" x14ac:dyDescent="0.2">
      <c r="A159" s="8">
        <f>Calculator!$D$6+154</f>
        <v>46467</v>
      </c>
      <c r="B159" s="9">
        <f>A159-Calculator!$D$6</f>
        <v>154</v>
      </c>
      <c r="C159" s="10">
        <f t="shared" si="14"/>
        <v>0.42191780821917807</v>
      </c>
      <c r="D159" s="11">
        <f t="shared" si="15"/>
        <v>6.75</v>
      </c>
      <c r="E159" s="11">
        <f t="shared" si="16"/>
        <v>8.5</v>
      </c>
      <c r="F159" s="11">
        <f t="shared" si="17"/>
        <v>10.25</v>
      </c>
      <c r="G159" s="11">
        <f t="shared" si="18"/>
        <v>13.5</v>
      </c>
      <c r="H159" s="11">
        <f t="shared" si="19"/>
        <v>15.25</v>
      </c>
      <c r="I159" s="11">
        <f t="shared" si="20"/>
        <v>17</v>
      </c>
    </row>
    <row r="160" spans="1:9" x14ac:dyDescent="0.2">
      <c r="A160" s="12">
        <f>Calculator!$D$6+155</f>
        <v>46468</v>
      </c>
      <c r="B160" s="13">
        <f>A160-Calculator!$D$6</f>
        <v>155</v>
      </c>
      <c r="C160" s="14">
        <f t="shared" si="14"/>
        <v>0.42465753424657532</v>
      </c>
      <c r="D160" s="15">
        <f t="shared" si="15"/>
        <v>6.75</v>
      </c>
      <c r="E160" s="15">
        <f t="shared" si="16"/>
        <v>8.5</v>
      </c>
      <c r="F160" s="15">
        <f t="shared" si="17"/>
        <v>10.25</v>
      </c>
      <c r="G160" s="15">
        <f t="shared" si="18"/>
        <v>13.5</v>
      </c>
      <c r="H160" s="15">
        <f t="shared" si="19"/>
        <v>15.25</v>
      </c>
      <c r="I160" s="15">
        <f t="shared" si="20"/>
        <v>17</v>
      </c>
    </row>
    <row r="161" spans="1:9" x14ac:dyDescent="0.2">
      <c r="A161" s="8">
        <f>Calculator!$D$6+156</f>
        <v>46469</v>
      </c>
      <c r="B161" s="9">
        <f>A161-Calculator!$D$6</f>
        <v>156</v>
      </c>
      <c r="C161" s="10">
        <f t="shared" si="14"/>
        <v>0.42739726027397262</v>
      </c>
      <c r="D161" s="11">
        <f t="shared" si="15"/>
        <v>6.75</v>
      </c>
      <c r="E161" s="11">
        <f t="shared" si="16"/>
        <v>8.5</v>
      </c>
      <c r="F161" s="11">
        <f t="shared" si="17"/>
        <v>10.25</v>
      </c>
      <c r="G161" s="11">
        <f t="shared" si="18"/>
        <v>13.75</v>
      </c>
      <c r="H161" s="11">
        <f t="shared" si="19"/>
        <v>15.5</v>
      </c>
      <c r="I161" s="11">
        <f t="shared" si="20"/>
        <v>17</v>
      </c>
    </row>
    <row r="162" spans="1:9" x14ac:dyDescent="0.2">
      <c r="A162" s="12">
        <f>Calculator!$D$6+157</f>
        <v>46470</v>
      </c>
      <c r="B162" s="13">
        <f>A162-Calculator!$D$6</f>
        <v>157</v>
      </c>
      <c r="C162" s="14">
        <f t="shared" si="14"/>
        <v>0.43013698630136987</v>
      </c>
      <c r="D162" s="15">
        <f t="shared" si="15"/>
        <v>7</v>
      </c>
      <c r="E162" s="15">
        <f t="shared" si="16"/>
        <v>8.5</v>
      </c>
      <c r="F162" s="15">
        <f t="shared" si="17"/>
        <v>10.25</v>
      </c>
      <c r="G162" s="15">
        <f t="shared" si="18"/>
        <v>13.75</v>
      </c>
      <c r="H162" s="15">
        <f t="shared" si="19"/>
        <v>15.5</v>
      </c>
      <c r="I162" s="15">
        <f t="shared" si="20"/>
        <v>17.25</v>
      </c>
    </row>
    <row r="163" spans="1:9" x14ac:dyDescent="0.2">
      <c r="A163" s="8">
        <f>Calculator!$D$6+158</f>
        <v>46471</v>
      </c>
      <c r="B163" s="9">
        <f>A163-Calculator!$D$6</f>
        <v>158</v>
      </c>
      <c r="C163" s="10">
        <f t="shared" si="14"/>
        <v>0.43287671232876712</v>
      </c>
      <c r="D163" s="11">
        <f t="shared" si="15"/>
        <v>7</v>
      </c>
      <c r="E163" s="11">
        <f t="shared" si="16"/>
        <v>8.75</v>
      </c>
      <c r="F163" s="11">
        <f t="shared" si="17"/>
        <v>10.5</v>
      </c>
      <c r="G163" s="11">
        <f t="shared" si="18"/>
        <v>13.75</v>
      </c>
      <c r="H163" s="11">
        <f t="shared" si="19"/>
        <v>15.5</v>
      </c>
      <c r="I163" s="11">
        <f t="shared" si="20"/>
        <v>17.25</v>
      </c>
    </row>
    <row r="164" spans="1:9" x14ac:dyDescent="0.2">
      <c r="A164" s="12">
        <f>Calculator!$D$6+159</f>
        <v>46472</v>
      </c>
      <c r="B164" s="13">
        <f>A164-Calculator!$D$6</f>
        <v>159</v>
      </c>
      <c r="C164" s="14">
        <f t="shared" si="14"/>
        <v>0.43561643835616437</v>
      </c>
      <c r="D164" s="15">
        <f t="shared" si="15"/>
        <v>7</v>
      </c>
      <c r="E164" s="15">
        <f t="shared" si="16"/>
        <v>8.75</v>
      </c>
      <c r="F164" s="15">
        <f t="shared" si="17"/>
        <v>10.5</v>
      </c>
      <c r="G164" s="15">
        <f t="shared" si="18"/>
        <v>14</v>
      </c>
      <c r="H164" s="15">
        <f t="shared" si="19"/>
        <v>15.75</v>
      </c>
      <c r="I164" s="15">
        <f t="shared" si="20"/>
        <v>17.5</v>
      </c>
    </row>
    <row r="165" spans="1:9" x14ac:dyDescent="0.2">
      <c r="A165" s="8">
        <f>Calculator!$D$6+160</f>
        <v>46473</v>
      </c>
      <c r="B165" s="9">
        <f>A165-Calculator!$D$6</f>
        <v>160</v>
      </c>
      <c r="C165" s="10">
        <f t="shared" si="14"/>
        <v>0.43835616438356162</v>
      </c>
      <c r="D165" s="11">
        <f t="shared" si="15"/>
        <v>7</v>
      </c>
      <c r="E165" s="11">
        <f t="shared" si="16"/>
        <v>8.75</v>
      </c>
      <c r="F165" s="11">
        <f t="shared" si="17"/>
        <v>10.5</v>
      </c>
      <c r="G165" s="11">
        <f t="shared" si="18"/>
        <v>14</v>
      </c>
      <c r="H165" s="11">
        <f t="shared" si="19"/>
        <v>15.75</v>
      </c>
      <c r="I165" s="11">
        <f t="shared" si="20"/>
        <v>17.5</v>
      </c>
    </row>
    <row r="166" spans="1:9" x14ac:dyDescent="0.2">
      <c r="A166" s="12">
        <f>Calculator!$D$6+161</f>
        <v>46474</v>
      </c>
      <c r="B166" s="13">
        <f>A166-Calculator!$D$6</f>
        <v>161</v>
      </c>
      <c r="C166" s="14">
        <f t="shared" si="14"/>
        <v>0.44109589041095892</v>
      </c>
      <c r="D166" s="15">
        <f t="shared" si="15"/>
        <v>7</v>
      </c>
      <c r="E166" s="15">
        <f t="shared" si="16"/>
        <v>8.75</v>
      </c>
      <c r="F166" s="15">
        <f t="shared" si="17"/>
        <v>10.5</v>
      </c>
      <c r="G166" s="15">
        <f t="shared" si="18"/>
        <v>14</v>
      </c>
      <c r="H166" s="15">
        <f t="shared" si="19"/>
        <v>16</v>
      </c>
      <c r="I166" s="15">
        <f t="shared" si="20"/>
        <v>17.75</v>
      </c>
    </row>
    <row r="167" spans="1:9" x14ac:dyDescent="0.2">
      <c r="A167" s="8">
        <f>Calculator!$D$6+162</f>
        <v>46475</v>
      </c>
      <c r="B167" s="9">
        <f>A167-Calculator!$D$6</f>
        <v>162</v>
      </c>
      <c r="C167" s="10">
        <f t="shared" si="14"/>
        <v>0.44383561643835617</v>
      </c>
      <c r="D167" s="11">
        <f t="shared" si="15"/>
        <v>7</v>
      </c>
      <c r="E167" s="11">
        <f t="shared" si="16"/>
        <v>9</v>
      </c>
      <c r="F167" s="11">
        <f t="shared" si="17"/>
        <v>10.75</v>
      </c>
      <c r="G167" s="11">
        <f t="shared" si="18"/>
        <v>14.25</v>
      </c>
      <c r="H167" s="11">
        <f t="shared" si="19"/>
        <v>16</v>
      </c>
      <c r="I167" s="11">
        <f t="shared" si="20"/>
        <v>17.75</v>
      </c>
    </row>
    <row r="168" spans="1:9" x14ac:dyDescent="0.2">
      <c r="A168" s="12">
        <f>Calculator!$D$6+163</f>
        <v>46476</v>
      </c>
      <c r="B168" s="13">
        <f>A168-Calculator!$D$6</f>
        <v>163</v>
      </c>
      <c r="C168" s="14">
        <f t="shared" si="14"/>
        <v>0.44657534246575342</v>
      </c>
      <c r="D168" s="15">
        <f t="shared" si="15"/>
        <v>7.25</v>
      </c>
      <c r="E168" s="15">
        <f t="shared" si="16"/>
        <v>9</v>
      </c>
      <c r="F168" s="15">
        <f t="shared" si="17"/>
        <v>10.75</v>
      </c>
      <c r="G168" s="15">
        <f t="shared" si="18"/>
        <v>14.25</v>
      </c>
      <c r="H168" s="15">
        <f t="shared" si="19"/>
        <v>16</v>
      </c>
      <c r="I168" s="15">
        <f t="shared" si="20"/>
        <v>17.75</v>
      </c>
    </row>
    <row r="169" spans="1:9" x14ac:dyDescent="0.2">
      <c r="A169" s="8">
        <f>Calculator!$D$6+164</f>
        <v>46477</v>
      </c>
      <c r="B169" s="9">
        <f>A169-Calculator!$D$6</f>
        <v>164</v>
      </c>
      <c r="C169" s="10">
        <f t="shared" si="14"/>
        <v>0.44931506849315067</v>
      </c>
      <c r="D169" s="11">
        <f t="shared" si="15"/>
        <v>7.25</v>
      </c>
      <c r="E169" s="11">
        <f t="shared" si="16"/>
        <v>9</v>
      </c>
      <c r="F169" s="11">
        <f t="shared" si="17"/>
        <v>10.75</v>
      </c>
      <c r="G169" s="11">
        <f t="shared" si="18"/>
        <v>14.5</v>
      </c>
      <c r="H169" s="11">
        <f t="shared" si="19"/>
        <v>16.25</v>
      </c>
      <c r="I169" s="11">
        <f t="shared" si="20"/>
        <v>18</v>
      </c>
    </row>
    <row r="170" spans="1:9" x14ac:dyDescent="0.2">
      <c r="A170" s="12">
        <f>Calculator!$D$6+165</f>
        <v>46478</v>
      </c>
      <c r="B170" s="13">
        <f>A170-Calculator!$D$6</f>
        <v>165</v>
      </c>
      <c r="C170" s="14">
        <f t="shared" si="14"/>
        <v>0.45205479452054792</v>
      </c>
      <c r="D170" s="15">
        <f t="shared" si="15"/>
        <v>7.25</v>
      </c>
      <c r="E170" s="15">
        <f t="shared" si="16"/>
        <v>9</v>
      </c>
      <c r="F170" s="15">
        <f t="shared" si="17"/>
        <v>10.75</v>
      </c>
      <c r="G170" s="15">
        <f t="shared" si="18"/>
        <v>14.5</v>
      </c>
      <c r="H170" s="15">
        <f t="shared" si="19"/>
        <v>16.25</v>
      </c>
      <c r="I170" s="15">
        <f t="shared" si="20"/>
        <v>18</v>
      </c>
    </row>
    <row r="171" spans="1:9" x14ac:dyDescent="0.2">
      <c r="A171" s="8">
        <f>Calculator!$D$6+166</f>
        <v>46479</v>
      </c>
      <c r="B171" s="9">
        <f>A171-Calculator!$D$6</f>
        <v>166</v>
      </c>
      <c r="C171" s="10">
        <f t="shared" si="14"/>
        <v>0.45479452054794522</v>
      </c>
      <c r="D171" s="11">
        <f t="shared" si="15"/>
        <v>7.25</v>
      </c>
      <c r="E171" s="11">
        <f t="shared" si="16"/>
        <v>9</v>
      </c>
      <c r="F171" s="11">
        <f t="shared" si="17"/>
        <v>11</v>
      </c>
      <c r="G171" s="11">
        <f t="shared" si="18"/>
        <v>14.5</v>
      </c>
      <c r="H171" s="11">
        <f t="shared" si="19"/>
        <v>16.25</v>
      </c>
      <c r="I171" s="11">
        <f t="shared" si="20"/>
        <v>18.25</v>
      </c>
    </row>
    <row r="172" spans="1:9" x14ac:dyDescent="0.2">
      <c r="A172" s="12">
        <f>Calculator!$D$6+167</f>
        <v>46480</v>
      </c>
      <c r="B172" s="13">
        <f>A172-Calculator!$D$6</f>
        <v>167</v>
      </c>
      <c r="C172" s="14">
        <f t="shared" si="14"/>
        <v>0.45753424657534247</v>
      </c>
      <c r="D172" s="15">
        <f t="shared" si="15"/>
        <v>7.25</v>
      </c>
      <c r="E172" s="15">
        <f t="shared" si="16"/>
        <v>9.25</v>
      </c>
      <c r="F172" s="15">
        <f t="shared" si="17"/>
        <v>11</v>
      </c>
      <c r="G172" s="15">
        <f t="shared" si="18"/>
        <v>14.75</v>
      </c>
      <c r="H172" s="15">
        <f t="shared" si="19"/>
        <v>16.5</v>
      </c>
      <c r="I172" s="15">
        <f t="shared" si="20"/>
        <v>18.25</v>
      </c>
    </row>
    <row r="173" spans="1:9" x14ac:dyDescent="0.2">
      <c r="A173" s="8">
        <f>Calculator!$D$6+168</f>
        <v>46481</v>
      </c>
      <c r="B173" s="9">
        <f>A173-Calculator!$D$6</f>
        <v>168</v>
      </c>
      <c r="C173" s="10">
        <f t="shared" si="14"/>
        <v>0.46027397260273972</v>
      </c>
      <c r="D173" s="11">
        <f t="shared" si="15"/>
        <v>7.25</v>
      </c>
      <c r="E173" s="11">
        <f t="shared" si="16"/>
        <v>9.25</v>
      </c>
      <c r="F173" s="11">
        <f t="shared" si="17"/>
        <v>11</v>
      </c>
      <c r="G173" s="11">
        <f t="shared" si="18"/>
        <v>14.75</v>
      </c>
      <c r="H173" s="11">
        <f t="shared" si="19"/>
        <v>16.5</v>
      </c>
      <c r="I173" s="11">
        <f t="shared" si="20"/>
        <v>18.5</v>
      </c>
    </row>
    <row r="174" spans="1:9" x14ac:dyDescent="0.2">
      <c r="A174" s="12">
        <f>Calculator!$D$6+169</f>
        <v>46482</v>
      </c>
      <c r="B174" s="13">
        <f>A174-Calculator!$D$6</f>
        <v>169</v>
      </c>
      <c r="C174" s="14">
        <f t="shared" si="14"/>
        <v>0.46301369863013697</v>
      </c>
      <c r="D174" s="15">
        <f t="shared" si="15"/>
        <v>7.5</v>
      </c>
      <c r="E174" s="15">
        <f t="shared" si="16"/>
        <v>9.25</v>
      </c>
      <c r="F174" s="15">
        <f t="shared" si="17"/>
        <v>11</v>
      </c>
      <c r="G174" s="15">
        <f t="shared" si="18"/>
        <v>14.75</v>
      </c>
      <c r="H174" s="15">
        <f t="shared" si="19"/>
        <v>16.75</v>
      </c>
      <c r="I174" s="15">
        <f t="shared" si="20"/>
        <v>18.5</v>
      </c>
    </row>
    <row r="175" spans="1:9" x14ac:dyDescent="0.2">
      <c r="A175" s="8">
        <f>Calculator!$D$6+170</f>
        <v>46483</v>
      </c>
      <c r="B175" s="9">
        <f>A175-Calculator!$D$6</f>
        <v>170</v>
      </c>
      <c r="C175" s="10">
        <f t="shared" si="14"/>
        <v>0.46575342465753422</v>
      </c>
      <c r="D175" s="11">
        <f t="shared" si="15"/>
        <v>7.5</v>
      </c>
      <c r="E175" s="11">
        <f t="shared" si="16"/>
        <v>9.25</v>
      </c>
      <c r="F175" s="11">
        <f t="shared" si="17"/>
        <v>11.25</v>
      </c>
      <c r="G175" s="11">
        <f t="shared" si="18"/>
        <v>15</v>
      </c>
      <c r="H175" s="11">
        <f t="shared" si="19"/>
        <v>16.75</v>
      </c>
      <c r="I175" s="11">
        <f t="shared" si="20"/>
        <v>18.75</v>
      </c>
    </row>
    <row r="176" spans="1:9" x14ac:dyDescent="0.2">
      <c r="A176" s="12">
        <f>Calculator!$D$6+171</f>
        <v>46484</v>
      </c>
      <c r="B176" s="13">
        <f>A176-Calculator!$D$6</f>
        <v>171</v>
      </c>
      <c r="C176" s="14">
        <f t="shared" si="14"/>
        <v>0.46849315068493153</v>
      </c>
      <c r="D176" s="15">
        <f t="shared" si="15"/>
        <v>7.5</v>
      </c>
      <c r="E176" s="15">
        <f t="shared" si="16"/>
        <v>9.25</v>
      </c>
      <c r="F176" s="15">
        <f t="shared" si="17"/>
        <v>11.25</v>
      </c>
      <c r="G176" s="15">
        <f t="shared" si="18"/>
        <v>15</v>
      </c>
      <c r="H176" s="15">
        <f t="shared" si="19"/>
        <v>16.75</v>
      </c>
      <c r="I176" s="15">
        <f t="shared" si="20"/>
        <v>18.75</v>
      </c>
    </row>
    <row r="177" spans="1:9" x14ac:dyDescent="0.2">
      <c r="A177" s="8">
        <f>Calculator!$D$6+172</f>
        <v>46485</v>
      </c>
      <c r="B177" s="9">
        <f>A177-Calculator!$D$6</f>
        <v>172</v>
      </c>
      <c r="C177" s="10">
        <f t="shared" si="14"/>
        <v>0.47123287671232877</v>
      </c>
      <c r="D177" s="11">
        <f t="shared" si="15"/>
        <v>7.5</v>
      </c>
      <c r="E177" s="11">
        <f t="shared" si="16"/>
        <v>9.5</v>
      </c>
      <c r="F177" s="11">
        <f t="shared" si="17"/>
        <v>11.25</v>
      </c>
      <c r="G177" s="11">
        <f t="shared" si="18"/>
        <v>15</v>
      </c>
      <c r="H177" s="11">
        <f t="shared" si="19"/>
        <v>17</v>
      </c>
      <c r="I177" s="11">
        <f t="shared" si="20"/>
        <v>18.75</v>
      </c>
    </row>
    <row r="178" spans="1:9" x14ac:dyDescent="0.2">
      <c r="A178" s="12">
        <f>Calculator!$D$6+173</f>
        <v>46486</v>
      </c>
      <c r="B178" s="13">
        <f>A178-Calculator!$D$6</f>
        <v>173</v>
      </c>
      <c r="C178" s="14">
        <f t="shared" si="14"/>
        <v>0.47397260273972602</v>
      </c>
      <c r="D178" s="15">
        <f t="shared" si="15"/>
        <v>7.5</v>
      </c>
      <c r="E178" s="15">
        <f t="shared" si="16"/>
        <v>9.5</v>
      </c>
      <c r="F178" s="15">
        <f t="shared" si="17"/>
        <v>11.5</v>
      </c>
      <c r="G178" s="15">
        <f t="shared" si="18"/>
        <v>15.25</v>
      </c>
      <c r="H178" s="15">
        <f t="shared" si="19"/>
        <v>17</v>
      </c>
      <c r="I178" s="15">
        <f t="shared" si="20"/>
        <v>19</v>
      </c>
    </row>
    <row r="179" spans="1:9" x14ac:dyDescent="0.2">
      <c r="A179" s="8">
        <f>Calculator!$D$6+174</f>
        <v>46487</v>
      </c>
      <c r="B179" s="9">
        <f>A179-Calculator!$D$6</f>
        <v>174</v>
      </c>
      <c r="C179" s="10">
        <f t="shared" si="14"/>
        <v>0.47671232876712327</v>
      </c>
      <c r="D179" s="11">
        <f t="shared" si="15"/>
        <v>7.75</v>
      </c>
      <c r="E179" s="11">
        <f t="shared" si="16"/>
        <v>9.5</v>
      </c>
      <c r="F179" s="11">
        <f t="shared" si="17"/>
        <v>11.5</v>
      </c>
      <c r="G179" s="11">
        <f t="shared" si="18"/>
        <v>15.25</v>
      </c>
      <c r="H179" s="11">
        <f t="shared" si="19"/>
        <v>17.25</v>
      </c>
      <c r="I179" s="11">
        <f t="shared" si="20"/>
        <v>19</v>
      </c>
    </row>
    <row r="180" spans="1:9" x14ac:dyDescent="0.2">
      <c r="A180" s="12">
        <f>Calculator!$D$6+175</f>
        <v>46488</v>
      </c>
      <c r="B180" s="13">
        <f>A180-Calculator!$D$6</f>
        <v>175</v>
      </c>
      <c r="C180" s="14">
        <f t="shared" si="14"/>
        <v>0.47945205479452052</v>
      </c>
      <c r="D180" s="15">
        <f t="shared" si="15"/>
        <v>7.75</v>
      </c>
      <c r="E180" s="15">
        <f t="shared" si="16"/>
        <v>9.5</v>
      </c>
      <c r="F180" s="15">
        <f t="shared" si="17"/>
        <v>11.5</v>
      </c>
      <c r="G180" s="15">
        <f t="shared" si="18"/>
        <v>15.25</v>
      </c>
      <c r="H180" s="15">
        <f t="shared" si="19"/>
        <v>17.25</v>
      </c>
      <c r="I180" s="15">
        <f t="shared" si="20"/>
        <v>19.25</v>
      </c>
    </row>
    <row r="181" spans="1:9" x14ac:dyDescent="0.2">
      <c r="A181" s="8">
        <f>Calculator!$D$6+176</f>
        <v>46489</v>
      </c>
      <c r="B181" s="9">
        <f>A181-Calculator!$D$6</f>
        <v>176</v>
      </c>
      <c r="C181" s="10">
        <f t="shared" si="14"/>
        <v>0.48219178082191783</v>
      </c>
      <c r="D181" s="11">
        <f t="shared" si="15"/>
        <v>7.75</v>
      </c>
      <c r="E181" s="11">
        <f t="shared" si="16"/>
        <v>9.75</v>
      </c>
      <c r="F181" s="11">
        <f t="shared" si="17"/>
        <v>11.5</v>
      </c>
      <c r="G181" s="11">
        <f t="shared" si="18"/>
        <v>15.5</v>
      </c>
      <c r="H181" s="11">
        <f t="shared" si="19"/>
        <v>17.25</v>
      </c>
      <c r="I181" s="11">
        <f t="shared" si="20"/>
        <v>19.25</v>
      </c>
    </row>
    <row r="182" spans="1:9" x14ac:dyDescent="0.2">
      <c r="A182" s="12">
        <f>Calculator!$D$6+177</f>
        <v>46490</v>
      </c>
      <c r="B182" s="13">
        <f>A182-Calculator!$D$6</f>
        <v>177</v>
      </c>
      <c r="C182" s="14">
        <f t="shared" si="14"/>
        <v>0.48493150684931507</v>
      </c>
      <c r="D182" s="15">
        <f t="shared" si="15"/>
        <v>7.75</v>
      </c>
      <c r="E182" s="15">
        <f t="shared" si="16"/>
        <v>9.75</v>
      </c>
      <c r="F182" s="15">
        <f t="shared" si="17"/>
        <v>11.75</v>
      </c>
      <c r="G182" s="15">
        <f t="shared" si="18"/>
        <v>15.5</v>
      </c>
      <c r="H182" s="15">
        <f t="shared" si="19"/>
        <v>17.5</v>
      </c>
      <c r="I182" s="15">
        <f t="shared" si="20"/>
        <v>19.5</v>
      </c>
    </row>
    <row r="183" spans="1:9" x14ac:dyDescent="0.2">
      <c r="A183" s="8">
        <f>Calculator!$D$6+178</f>
        <v>46491</v>
      </c>
      <c r="B183" s="9">
        <f>A183-Calculator!$D$6</f>
        <v>178</v>
      </c>
      <c r="C183" s="10">
        <f t="shared" si="14"/>
        <v>0.48767123287671232</v>
      </c>
      <c r="D183" s="11">
        <f t="shared" si="15"/>
        <v>7.75</v>
      </c>
      <c r="E183" s="11">
        <f t="shared" si="16"/>
        <v>9.75</v>
      </c>
      <c r="F183" s="11">
        <f t="shared" si="17"/>
        <v>11.75</v>
      </c>
      <c r="G183" s="11">
        <f t="shared" si="18"/>
        <v>15.5</v>
      </c>
      <c r="H183" s="11">
        <f t="shared" si="19"/>
        <v>17.5</v>
      </c>
      <c r="I183" s="11">
        <f t="shared" si="20"/>
        <v>19.5</v>
      </c>
    </row>
    <row r="184" spans="1:9" x14ac:dyDescent="0.2">
      <c r="A184" s="12">
        <f>Calculator!$D$6+179</f>
        <v>46492</v>
      </c>
      <c r="B184" s="13">
        <f>A184-Calculator!$D$6</f>
        <v>179</v>
      </c>
      <c r="C184" s="14">
        <f t="shared" si="14"/>
        <v>0.49041095890410957</v>
      </c>
      <c r="D184" s="15">
        <f t="shared" si="15"/>
        <v>7.75</v>
      </c>
      <c r="E184" s="15">
        <f t="shared" si="16"/>
        <v>9.75</v>
      </c>
      <c r="F184" s="15">
        <f t="shared" si="17"/>
        <v>11.75</v>
      </c>
      <c r="G184" s="15">
        <f t="shared" si="18"/>
        <v>15.75</v>
      </c>
      <c r="H184" s="15">
        <f t="shared" si="19"/>
        <v>17.75</v>
      </c>
      <c r="I184" s="15">
        <f t="shared" si="20"/>
        <v>19.5</v>
      </c>
    </row>
    <row r="185" spans="1:9" x14ac:dyDescent="0.2">
      <c r="A185" s="8">
        <f>Calculator!$D$6+180</f>
        <v>46493</v>
      </c>
      <c r="B185" s="9">
        <f>A185-Calculator!$D$6</f>
        <v>180</v>
      </c>
      <c r="C185" s="10">
        <f t="shared" si="14"/>
        <v>0.49315068493150682</v>
      </c>
      <c r="D185" s="11">
        <f t="shared" si="15"/>
        <v>8</v>
      </c>
      <c r="E185" s="11">
        <f t="shared" si="16"/>
        <v>9.75</v>
      </c>
      <c r="F185" s="11">
        <f t="shared" si="17"/>
        <v>11.75</v>
      </c>
      <c r="G185" s="11">
        <f t="shared" si="18"/>
        <v>15.75</v>
      </c>
      <c r="H185" s="11">
        <f t="shared" si="19"/>
        <v>17.75</v>
      </c>
      <c r="I185" s="11">
        <f t="shared" si="20"/>
        <v>19.75</v>
      </c>
    </row>
    <row r="186" spans="1:9" x14ac:dyDescent="0.2">
      <c r="A186" s="12">
        <f>Calculator!$D$6+181</f>
        <v>46494</v>
      </c>
      <c r="B186" s="13">
        <f>A186-Calculator!$D$6</f>
        <v>181</v>
      </c>
      <c r="C186" s="14">
        <f t="shared" si="14"/>
        <v>0.49589041095890413</v>
      </c>
      <c r="D186" s="15">
        <f t="shared" si="15"/>
        <v>8</v>
      </c>
      <c r="E186" s="15">
        <f t="shared" si="16"/>
        <v>10</v>
      </c>
      <c r="F186" s="15">
        <f t="shared" si="17"/>
        <v>12</v>
      </c>
      <c r="G186" s="15">
        <f t="shared" si="18"/>
        <v>15.75</v>
      </c>
      <c r="H186" s="15">
        <f t="shared" si="19"/>
        <v>17.75</v>
      </c>
      <c r="I186" s="15">
        <f t="shared" si="20"/>
        <v>19.75</v>
      </c>
    </row>
    <row r="187" spans="1:9" x14ac:dyDescent="0.2">
      <c r="A187" s="8">
        <f>Calculator!$D$6+182</f>
        <v>46495</v>
      </c>
      <c r="B187" s="9">
        <f>A187-Calculator!$D$6</f>
        <v>182</v>
      </c>
      <c r="C187" s="10">
        <f t="shared" si="14"/>
        <v>0.49863013698630138</v>
      </c>
      <c r="D187" s="11">
        <f t="shared" si="15"/>
        <v>8</v>
      </c>
      <c r="E187" s="11">
        <f t="shared" si="16"/>
        <v>10</v>
      </c>
      <c r="F187" s="11">
        <f t="shared" si="17"/>
        <v>12</v>
      </c>
      <c r="G187" s="11">
        <f t="shared" si="18"/>
        <v>16</v>
      </c>
      <c r="H187" s="11">
        <f t="shared" si="19"/>
        <v>18</v>
      </c>
      <c r="I187" s="11">
        <f t="shared" si="20"/>
        <v>20</v>
      </c>
    </row>
    <row r="188" spans="1:9" x14ac:dyDescent="0.2">
      <c r="A188" s="12">
        <f>Calculator!$D$6+183</f>
        <v>46496</v>
      </c>
      <c r="B188" s="13">
        <f>A188-Calculator!$D$6</f>
        <v>183</v>
      </c>
      <c r="C188" s="14">
        <f t="shared" si="14"/>
        <v>0.50136986301369868</v>
      </c>
      <c r="D188" s="15">
        <f t="shared" si="15"/>
        <v>8</v>
      </c>
      <c r="E188" s="15">
        <f t="shared" si="16"/>
        <v>10</v>
      </c>
      <c r="F188" s="15">
        <f t="shared" si="17"/>
        <v>12</v>
      </c>
      <c r="G188" s="15">
        <f t="shared" si="18"/>
        <v>16</v>
      </c>
      <c r="H188" s="15">
        <f t="shared" si="19"/>
        <v>18</v>
      </c>
      <c r="I188" s="15">
        <f t="shared" si="20"/>
        <v>20</v>
      </c>
    </row>
    <row r="189" spans="1:9" x14ac:dyDescent="0.2">
      <c r="A189" s="8">
        <f>Calculator!$D$6+184</f>
        <v>46497</v>
      </c>
      <c r="B189" s="9">
        <f>A189-Calculator!$D$6</f>
        <v>184</v>
      </c>
      <c r="C189" s="10">
        <f t="shared" si="14"/>
        <v>0.50410958904109593</v>
      </c>
      <c r="D189" s="11">
        <f t="shared" si="15"/>
        <v>8</v>
      </c>
      <c r="E189" s="11">
        <f t="shared" si="16"/>
        <v>10</v>
      </c>
      <c r="F189" s="11">
        <f t="shared" si="17"/>
        <v>12</v>
      </c>
      <c r="G189" s="11">
        <f t="shared" si="18"/>
        <v>16.25</v>
      </c>
      <c r="H189" s="11">
        <f t="shared" si="19"/>
        <v>18.25</v>
      </c>
      <c r="I189" s="11">
        <f t="shared" si="20"/>
        <v>20.25</v>
      </c>
    </row>
    <row r="190" spans="1:9" x14ac:dyDescent="0.2">
      <c r="A190" s="12">
        <f>Calculator!$D$6+185</f>
        <v>46498</v>
      </c>
      <c r="B190" s="13">
        <f>A190-Calculator!$D$6</f>
        <v>185</v>
      </c>
      <c r="C190" s="14">
        <f t="shared" si="14"/>
        <v>0.50684931506849318</v>
      </c>
      <c r="D190" s="15">
        <f t="shared" si="15"/>
        <v>8</v>
      </c>
      <c r="E190" s="15">
        <f t="shared" si="16"/>
        <v>10.25</v>
      </c>
      <c r="F190" s="15">
        <f t="shared" si="17"/>
        <v>12.25</v>
      </c>
      <c r="G190" s="15">
        <f t="shared" si="18"/>
        <v>16.25</v>
      </c>
      <c r="H190" s="15">
        <f t="shared" si="19"/>
        <v>18.25</v>
      </c>
      <c r="I190" s="15">
        <f t="shared" si="20"/>
        <v>20.25</v>
      </c>
    </row>
    <row r="191" spans="1:9" x14ac:dyDescent="0.2">
      <c r="A191" s="8">
        <f>Calculator!$D$6+186</f>
        <v>46499</v>
      </c>
      <c r="B191" s="9">
        <f>A191-Calculator!$D$6</f>
        <v>186</v>
      </c>
      <c r="C191" s="10">
        <f t="shared" si="14"/>
        <v>0.50958904109589043</v>
      </c>
      <c r="D191" s="11">
        <f t="shared" si="15"/>
        <v>8.25</v>
      </c>
      <c r="E191" s="11">
        <f t="shared" si="16"/>
        <v>10.25</v>
      </c>
      <c r="F191" s="11">
        <f t="shared" si="17"/>
        <v>12.25</v>
      </c>
      <c r="G191" s="11">
        <f t="shared" si="18"/>
        <v>16.25</v>
      </c>
      <c r="H191" s="11">
        <f t="shared" si="19"/>
        <v>18.25</v>
      </c>
      <c r="I191" s="11">
        <f t="shared" si="20"/>
        <v>20.5</v>
      </c>
    </row>
    <row r="192" spans="1:9" x14ac:dyDescent="0.2">
      <c r="A192" s="12">
        <f>Calculator!$D$6+187</f>
        <v>46500</v>
      </c>
      <c r="B192" s="13">
        <f>A192-Calculator!$D$6</f>
        <v>187</v>
      </c>
      <c r="C192" s="14">
        <f t="shared" si="14"/>
        <v>0.51232876712328768</v>
      </c>
      <c r="D192" s="15">
        <f t="shared" si="15"/>
        <v>8.25</v>
      </c>
      <c r="E192" s="15">
        <f t="shared" si="16"/>
        <v>10.25</v>
      </c>
      <c r="F192" s="15">
        <f t="shared" si="17"/>
        <v>12.25</v>
      </c>
      <c r="G192" s="15">
        <f t="shared" si="18"/>
        <v>16.5</v>
      </c>
      <c r="H192" s="15">
        <f t="shared" si="19"/>
        <v>18.5</v>
      </c>
      <c r="I192" s="15">
        <f t="shared" si="20"/>
        <v>20.5</v>
      </c>
    </row>
    <row r="193" spans="1:9" x14ac:dyDescent="0.2">
      <c r="A193" s="8">
        <f>Calculator!$D$6+188</f>
        <v>46501</v>
      </c>
      <c r="B193" s="9">
        <f>A193-Calculator!$D$6</f>
        <v>188</v>
      </c>
      <c r="C193" s="10">
        <f t="shared" si="14"/>
        <v>0.51506849315068493</v>
      </c>
      <c r="D193" s="11">
        <f t="shared" si="15"/>
        <v>8.25</v>
      </c>
      <c r="E193" s="11">
        <f t="shared" si="16"/>
        <v>10.25</v>
      </c>
      <c r="F193" s="11">
        <f t="shared" si="17"/>
        <v>12.25</v>
      </c>
      <c r="G193" s="11">
        <f t="shared" si="18"/>
        <v>16.5</v>
      </c>
      <c r="H193" s="11">
        <f t="shared" si="19"/>
        <v>18.5</v>
      </c>
      <c r="I193" s="11">
        <f t="shared" si="20"/>
        <v>20.5</v>
      </c>
    </row>
    <row r="194" spans="1:9" x14ac:dyDescent="0.2">
      <c r="A194" s="12">
        <f>Calculator!$D$6+189</f>
        <v>46502</v>
      </c>
      <c r="B194" s="13">
        <f>A194-Calculator!$D$6</f>
        <v>189</v>
      </c>
      <c r="C194" s="14">
        <f t="shared" si="14"/>
        <v>0.51780821917808217</v>
      </c>
      <c r="D194" s="15">
        <f t="shared" si="15"/>
        <v>8.25</v>
      </c>
      <c r="E194" s="15">
        <f t="shared" si="16"/>
        <v>10.25</v>
      </c>
      <c r="F194" s="15">
        <f t="shared" si="17"/>
        <v>12.5</v>
      </c>
      <c r="G194" s="15">
        <f t="shared" si="18"/>
        <v>16.5</v>
      </c>
      <c r="H194" s="15">
        <f t="shared" si="19"/>
        <v>18.75</v>
      </c>
      <c r="I194" s="15">
        <f t="shared" si="20"/>
        <v>20.75</v>
      </c>
    </row>
    <row r="195" spans="1:9" x14ac:dyDescent="0.2">
      <c r="A195" s="8">
        <f>Calculator!$D$6+190</f>
        <v>46503</v>
      </c>
      <c r="B195" s="9">
        <f>A195-Calculator!$D$6</f>
        <v>190</v>
      </c>
      <c r="C195" s="10">
        <f t="shared" si="14"/>
        <v>0.52054794520547942</v>
      </c>
      <c r="D195" s="11">
        <f t="shared" si="15"/>
        <v>8.25</v>
      </c>
      <c r="E195" s="11">
        <f t="shared" si="16"/>
        <v>10.5</v>
      </c>
      <c r="F195" s="11">
        <f t="shared" si="17"/>
        <v>12.5</v>
      </c>
      <c r="G195" s="11">
        <f t="shared" si="18"/>
        <v>16.75</v>
      </c>
      <c r="H195" s="11">
        <f t="shared" si="19"/>
        <v>18.75</v>
      </c>
      <c r="I195" s="11">
        <f t="shared" si="20"/>
        <v>20.75</v>
      </c>
    </row>
    <row r="196" spans="1:9" x14ac:dyDescent="0.2">
      <c r="A196" s="12">
        <f>Calculator!$D$6+191</f>
        <v>46504</v>
      </c>
      <c r="B196" s="13">
        <f>A196-Calculator!$D$6</f>
        <v>191</v>
      </c>
      <c r="C196" s="14">
        <f t="shared" si="14"/>
        <v>0.52328767123287667</v>
      </c>
      <c r="D196" s="15">
        <f t="shared" si="15"/>
        <v>8.25</v>
      </c>
      <c r="E196" s="15">
        <f t="shared" si="16"/>
        <v>10.5</v>
      </c>
      <c r="F196" s="15">
        <f t="shared" si="17"/>
        <v>12.5</v>
      </c>
      <c r="G196" s="15">
        <f t="shared" si="18"/>
        <v>16.75</v>
      </c>
      <c r="H196" s="15">
        <f t="shared" si="19"/>
        <v>18.75</v>
      </c>
      <c r="I196" s="15">
        <f t="shared" si="20"/>
        <v>21</v>
      </c>
    </row>
    <row r="197" spans="1:9" x14ac:dyDescent="0.2">
      <c r="A197" s="8">
        <f>Calculator!$D$6+192</f>
        <v>46505</v>
      </c>
      <c r="B197" s="9">
        <f>A197-Calculator!$D$6</f>
        <v>192</v>
      </c>
      <c r="C197" s="10">
        <f t="shared" ref="C197:C260" si="21">B197/365</f>
        <v>0.52602739726027392</v>
      </c>
      <c r="D197" s="11">
        <f t="shared" ref="D197:D260" si="22">MROUND(16*$C197,0.25)</f>
        <v>8.5</v>
      </c>
      <c r="E197" s="11">
        <f t="shared" ref="E197:E260" si="23">MROUND(20*$C197,0.25)</f>
        <v>10.5</v>
      </c>
      <c r="F197" s="11">
        <f t="shared" ref="F197:F260" si="24">MROUND(24*$C197,0.25)</f>
        <v>12.5</v>
      </c>
      <c r="G197" s="11">
        <f t="shared" ref="G197:G260" si="25">MROUND(32*$C197,0.25)</f>
        <v>16.75</v>
      </c>
      <c r="H197" s="11">
        <f t="shared" ref="H197:H260" si="26">MROUND(36*$C197,0.25)</f>
        <v>19</v>
      </c>
      <c r="I197" s="11">
        <f t="shared" ref="I197:I260" si="27">MROUND(40*$C197,0.25)</f>
        <v>21</v>
      </c>
    </row>
    <row r="198" spans="1:9" x14ac:dyDescent="0.2">
      <c r="A198" s="12">
        <f>Calculator!$D$6+193</f>
        <v>46506</v>
      </c>
      <c r="B198" s="13">
        <f>A198-Calculator!$D$6</f>
        <v>193</v>
      </c>
      <c r="C198" s="14">
        <f t="shared" si="21"/>
        <v>0.52876712328767128</v>
      </c>
      <c r="D198" s="15">
        <f t="shared" si="22"/>
        <v>8.5</v>
      </c>
      <c r="E198" s="15">
        <f t="shared" si="23"/>
        <v>10.5</v>
      </c>
      <c r="F198" s="15">
        <f t="shared" si="24"/>
        <v>12.75</v>
      </c>
      <c r="G198" s="15">
        <f t="shared" si="25"/>
        <v>17</v>
      </c>
      <c r="H198" s="15">
        <f t="shared" si="26"/>
        <v>19</v>
      </c>
      <c r="I198" s="15">
        <f t="shared" si="27"/>
        <v>21.25</v>
      </c>
    </row>
    <row r="199" spans="1:9" x14ac:dyDescent="0.2">
      <c r="A199" s="8">
        <f>Calculator!$D$6+194</f>
        <v>46507</v>
      </c>
      <c r="B199" s="9">
        <f>A199-Calculator!$D$6</f>
        <v>194</v>
      </c>
      <c r="C199" s="10">
        <f t="shared" si="21"/>
        <v>0.53150684931506853</v>
      </c>
      <c r="D199" s="11">
        <f t="shared" si="22"/>
        <v>8.5</v>
      </c>
      <c r="E199" s="11">
        <f t="shared" si="23"/>
        <v>10.75</v>
      </c>
      <c r="F199" s="11">
        <f t="shared" si="24"/>
        <v>12.75</v>
      </c>
      <c r="G199" s="11">
        <f t="shared" si="25"/>
        <v>17</v>
      </c>
      <c r="H199" s="11">
        <f t="shared" si="26"/>
        <v>19.25</v>
      </c>
      <c r="I199" s="11">
        <f t="shared" si="27"/>
        <v>21.25</v>
      </c>
    </row>
    <row r="200" spans="1:9" x14ac:dyDescent="0.2">
      <c r="A200" s="12">
        <f>Calculator!$D$6+195</f>
        <v>46508</v>
      </c>
      <c r="B200" s="13">
        <f>A200-Calculator!$D$6</f>
        <v>195</v>
      </c>
      <c r="C200" s="14">
        <f t="shared" si="21"/>
        <v>0.53424657534246578</v>
      </c>
      <c r="D200" s="15">
        <f t="shared" si="22"/>
        <v>8.5</v>
      </c>
      <c r="E200" s="15">
        <f t="shared" si="23"/>
        <v>10.75</v>
      </c>
      <c r="F200" s="15">
        <f t="shared" si="24"/>
        <v>12.75</v>
      </c>
      <c r="G200" s="15">
        <f t="shared" si="25"/>
        <v>17</v>
      </c>
      <c r="H200" s="15">
        <f t="shared" si="26"/>
        <v>19.25</v>
      </c>
      <c r="I200" s="15">
        <f t="shared" si="27"/>
        <v>21.25</v>
      </c>
    </row>
    <row r="201" spans="1:9" x14ac:dyDescent="0.2">
      <c r="A201" s="8">
        <f>Calculator!$D$6+196</f>
        <v>46509</v>
      </c>
      <c r="B201" s="9">
        <f>A201-Calculator!$D$6</f>
        <v>196</v>
      </c>
      <c r="C201" s="10">
        <f t="shared" si="21"/>
        <v>0.53698630136986303</v>
      </c>
      <c r="D201" s="11">
        <f t="shared" si="22"/>
        <v>8.5</v>
      </c>
      <c r="E201" s="11">
        <f t="shared" si="23"/>
        <v>10.75</v>
      </c>
      <c r="F201" s="11">
        <f t="shared" si="24"/>
        <v>13</v>
      </c>
      <c r="G201" s="11">
        <f t="shared" si="25"/>
        <v>17.25</v>
      </c>
      <c r="H201" s="11">
        <f t="shared" si="26"/>
        <v>19.25</v>
      </c>
      <c r="I201" s="11">
        <f t="shared" si="27"/>
        <v>21.5</v>
      </c>
    </row>
    <row r="202" spans="1:9" x14ac:dyDescent="0.2">
      <c r="A202" s="12">
        <f>Calculator!$D$6+197</f>
        <v>46510</v>
      </c>
      <c r="B202" s="13">
        <f>A202-Calculator!$D$6</f>
        <v>197</v>
      </c>
      <c r="C202" s="14">
        <f t="shared" si="21"/>
        <v>0.53972602739726028</v>
      </c>
      <c r="D202" s="15">
        <f t="shared" si="22"/>
        <v>8.75</v>
      </c>
      <c r="E202" s="15">
        <f t="shared" si="23"/>
        <v>10.75</v>
      </c>
      <c r="F202" s="15">
        <f t="shared" si="24"/>
        <v>13</v>
      </c>
      <c r="G202" s="15">
        <f t="shared" si="25"/>
        <v>17.25</v>
      </c>
      <c r="H202" s="15">
        <f t="shared" si="26"/>
        <v>19.5</v>
      </c>
      <c r="I202" s="15">
        <f t="shared" si="27"/>
        <v>21.5</v>
      </c>
    </row>
    <row r="203" spans="1:9" x14ac:dyDescent="0.2">
      <c r="A203" s="8">
        <f>Calculator!$D$6+198</f>
        <v>46511</v>
      </c>
      <c r="B203" s="9">
        <f>A203-Calculator!$D$6</f>
        <v>198</v>
      </c>
      <c r="C203" s="10">
        <f t="shared" si="21"/>
        <v>0.54246575342465753</v>
      </c>
      <c r="D203" s="11">
        <f t="shared" si="22"/>
        <v>8.75</v>
      </c>
      <c r="E203" s="11">
        <f t="shared" si="23"/>
        <v>10.75</v>
      </c>
      <c r="F203" s="11">
        <f t="shared" si="24"/>
        <v>13</v>
      </c>
      <c r="G203" s="11">
        <f t="shared" si="25"/>
        <v>17.25</v>
      </c>
      <c r="H203" s="11">
        <f t="shared" si="26"/>
        <v>19.5</v>
      </c>
      <c r="I203" s="11">
        <f t="shared" si="27"/>
        <v>21.75</v>
      </c>
    </row>
    <row r="204" spans="1:9" x14ac:dyDescent="0.2">
      <c r="A204" s="12">
        <f>Calculator!$D$6+199</f>
        <v>46512</v>
      </c>
      <c r="B204" s="13">
        <f>A204-Calculator!$D$6</f>
        <v>199</v>
      </c>
      <c r="C204" s="14">
        <f t="shared" si="21"/>
        <v>0.54520547945205478</v>
      </c>
      <c r="D204" s="15">
        <f t="shared" si="22"/>
        <v>8.75</v>
      </c>
      <c r="E204" s="15">
        <f t="shared" si="23"/>
        <v>11</v>
      </c>
      <c r="F204" s="15">
        <f t="shared" si="24"/>
        <v>13</v>
      </c>
      <c r="G204" s="15">
        <f t="shared" si="25"/>
        <v>17.5</v>
      </c>
      <c r="H204" s="15">
        <f t="shared" si="26"/>
        <v>19.75</v>
      </c>
      <c r="I204" s="15">
        <f t="shared" si="27"/>
        <v>21.75</v>
      </c>
    </row>
    <row r="205" spans="1:9" x14ac:dyDescent="0.2">
      <c r="A205" s="8">
        <f>Calculator!$D$6+200</f>
        <v>46513</v>
      </c>
      <c r="B205" s="9">
        <f>A205-Calculator!$D$6</f>
        <v>200</v>
      </c>
      <c r="C205" s="10">
        <f t="shared" si="21"/>
        <v>0.54794520547945202</v>
      </c>
      <c r="D205" s="11">
        <f t="shared" si="22"/>
        <v>8.75</v>
      </c>
      <c r="E205" s="11">
        <f t="shared" si="23"/>
        <v>11</v>
      </c>
      <c r="F205" s="11">
        <f t="shared" si="24"/>
        <v>13.25</v>
      </c>
      <c r="G205" s="11">
        <f t="shared" si="25"/>
        <v>17.5</v>
      </c>
      <c r="H205" s="11">
        <f t="shared" si="26"/>
        <v>19.75</v>
      </c>
      <c r="I205" s="11">
        <f t="shared" si="27"/>
        <v>22</v>
      </c>
    </row>
    <row r="206" spans="1:9" x14ac:dyDescent="0.2">
      <c r="A206" s="12">
        <f>Calculator!$D$6+201</f>
        <v>46514</v>
      </c>
      <c r="B206" s="13">
        <f>A206-Calculator!$D$6</f>
        <v>201</v>
      </c>
      <c r="C206" s="14">
        <f t="shared" si="21"/>
        <v>0.55068493150684927</v>
      </c>
      <c r="D206" s="15">
        <f t="shared" si="22"/>
        <v>8.75</v>
      </c>
      <c r="E206" s="15">
        <f t="shared" si="23"/>
        <v>11</v>
      </c>
      <c r="F206" s="15">
        <f t="shared" si="24"/>
        <v>13.25</v>
      </c>
      <c r="G206" s="15">
        <f t="shared" si="25"/>
        <v>17.5</v>
      </c>
      <c r="H206" s="15">
        <f t="shared" si="26"/>
        <v>19.75</v>
      </c>
      <c r="I206" s="15">
        <f t="shared" si="27"/>
        <v>22</v>
      </c>
    </row>
    <row r="207" spans="1:9" x14ac:dyDescent="0.2">
      <c r="A207" s="8">
        <f>Calculator!$D$6+202</f>
        <v>46515</v>
      </c>
      <c r="B207" s="9">
        <f>A207-Calculator!$D$6</f>
        <v>202</v>
      </c>
      <c r="C207" s="10">
        <f t="shared" si="21"/>
        <v>0.55342465753424652</v>
      </c>
      <c r="D207" s="11">
        <f t="shared" si="22"/>
        <v>8.75</v>
      </c>
      <c r="E207" s="11">
        <f t="shared" si="23"/>
        <v>11</v>
      </c>
      <c r="F207" s="11">
        <f t="shared" si="24"/>
        <v>13.25</v>
      </c>
      <c r="G207" s="11">
        <f t="shared" si="25"/>
        <v>17.75</v>
      </c>
      <c r="H207" s="11">
        <f t="shared" si="26"/>
        <v>20</v>
      </c>
      <c r="I207" s="11">
        <f t="shared" si="27"/>
        <v>22.25</v>
      </c>
    </row>
    <row r="208" spans="1:9" x14ac:dyDescent="0.2">
      <c r="A208" s="12">
        <f>Calculator!$D$6+203</f>
        <v>46516</v>
      </c>
      <c r="B208" s="13">
        <f>A208-Calculator!$D$6</f>
        <v>203</v>
      </c>
      <c r="C208" s="14">
        <f t="shared" si="21"/>
        <v>0.55616438356164388</v>
      </c>
      <c r="D208" s="15">
        <f t="shared" si="22"/>
        <v>9</v>
      </c>
      <c r="E208" s="15">
        <f t="shared" si="23"/>
        <v>11</v>
      </c>
      <c r="F208" s="15">
        <f t="shared" si="24"/>
        <v>13.25</v>
      </c>
      <c r="G208" s="15">
        <f t="shared" si="25"/>
        <v>17.75</v>
      </c>
      <c r="H208" s="15">
        <f t="shared" si="26"/>
        <v>20</v>
      </c>
      <c r="I208" s="15">
        <f t="shared" si="27"/>
        <v>22.25</v>
      </c>
    </row>
    <row r="209" spans="1:9" x14ac:dyDescent="0.2">
      <c r="A209" s="8">
        <f>Calculator!$D$6+204</f>
        <v>46517</v>
      </c>
      <c r="B209" s="9">
        <f>A209-Calculator!$D$6</f>
        <v>204</v>
      </c>
      <c r="C209" s="10">
        <f t="shared" si="21"/>
        <v>0.55890410958904113</v>
      </c>
      <c r="D209" s="11">
        <f t="shared" si="22"/>
        <v>9</v>
      </c>
      <c r="E209" s="11">
        <f t="shared" si="23"/>
        <v>11.25</v>
      </c>
      <c r="F209" s="11">
        <f t="shared" si="24"/>
        <v>13.5</v>
      </c>
      <c r="G209" s="11">
        <f t="shared" si="25"/>
        <v>18</v>
      </c>
      <c r="H209" s="11">
        <f t="shared" si="26"/>
        <v>20</v>
      </c>
      <c r="I209" s="11">
        <f t="shared" si="27"/>
        <v>22.25</v>
      </c>
    </row>
    <row r="210" spans="1:9" x14ac:dyDescent="0.2">
      <c r="A210" s="12">
        <f>Calculator!$D$6+205</f>
        <v>46518</v>
      </c>
      <c r="B210" s="13">
        <f>A210-Calculator!$D$6</f>
        <v>205</v>
      </c>
      <c r="C210" s="14">
        <f t="shared" si="21"/>
        <v>0.56164383561643838</v>
      </c>
      <c r="D210" s="15">
        <f t="shared" si="22"/>
        <v>9</v>
      </c>
      <c r="E210" s="15">
        <f t="shared" si="23"/>
        <v>11.25</v>
      </c>
      <c r="F210" s="15">
        <f t="shared" si="24"/>
        <v>13.5</v>
      </c>
      <c r="G210" s="15">
        <f t="shared" si="25"/>
        <v>18</v>
      </c>
      <c r="H210" s="15">
        <f t="shared" si="26"/>
        <v>20.25</v>
      </c>
      <c r="I210" s="15">
        <f t="shared" si="27"/>
        <v>22.5</v>
      </c>
    </row>
    <row r="211" spans="1:9" x14ac:dyDescent="0.2">
      <c r="A211" s="8">
        <f>Calculator!$D$6+206</f>
        <v>46519</v>
      </c>
      <c r="B211" s="9">
        <f>A211-Calculator!$D$6</f>
        <v>206</v>
      </c>
      <c r="C211" s="10">
        <f t="shared" si="21"/>
        <v>0.56438356164383563</v>
      </c>
      <c r="D211" s="11">
        <f t="shared" si="22"/>
        <v>9</v>
      </c>
      <c r="E211" s="11">
        <f t="shared" si="23"/>
        <v>11.25</v>
      </c>
      <c r="F211" s="11">
        <f t="shared" si="24"/>
        <v>13.5</v>
      </c>
      <c r="G211" s="11">
        <f t="shared" si="25"/>
        <v>18</v>
      </c>
      <c r="H211" s="11">
        <f t="shared" si="26"/>
        <v>20.25</v>
      </c>
      <c r="I211" s="11">
        <f t="shared" si="27"/>
        <v>22.5</v>
      </c>
    </row>
    <row r="212" spans="1:9" x14ac:dyDescent="0.2">
      <c r="A212" s="12">
        <f>Calculator!$D$6+207</f>
        <v>46520</v>
      </c>
      <c r="B212" s="13">
        <f>A212-Calculator!$D$6</f>
        <v>207</v>
      </c>
      <c r="C212" s="14">
        <f t="shared" si="21"/>
        <v>0.56712328767123288</v>
      </c>
      <c r="D212" s="15">
        <f t="shared" si="22"/>
        <v>9</v>
      </c>
      <c r="E212" s="15">
        <f t="shared" si="23"/>
        <v>11.25</v>
      </c>
      <c r="F212" s="15">
        <f t="shared" si="24"/>
        <v>13.5</v>
      </c>
      <c r="G212" s="15">
        <f t="shared" si="25"/>
        <v>18.25</v>
      </c>
      <c r="H212" s="15">
        <f t="shared" si="26"/>
        <v>20.5</v>
      </c>
      <c r="I212" s="15">
        <f t="shared" si="27"/>
        <v>22.75</v>
      </c>
    </row>
    <row r="213" spans="1:9" x14ac:dyDescent="0.2">
      <c r="A213" s="8">
        <f>Calculator!$D$6+208</f>
        <v>46521</v>
      </c>
      <c r="B213" s="9">
        <f>A213-Calculator!$D$6</f>
        <v>208</v>
      </c>
      <c r="C213" s="10">
        <f t="shared" si="21"/>
        <v>0.56986301369863013</v>
      </c>
      <c r="D213" s="11">
        <f t="shared" si="22"/>
        <v>9</v>
      </c>
      <c r="E213" s="11">
        <f t="shared" si="23"/>
        <v>11.5</v>
      </c>
      <c r="F213" s="11">
        <f t="shared" si="24"/>
        <v>13.75</v>
      </c>
      <c r="G213" s="11">
        <f t="shared" si="25"/>
        <v>18.25</v>
      </c>
      <c r="H213" s="11">
        <f t="shared" si="26"/>
        <v>20.5</v>
      </c>
      <c r="I213" s="11">
        <f t="shared" si="27"/>
        <v>22.75</v>
      </c>
    </row>
    <row r="214" spans="1:9" x14ac:dyDescent="0.2">
      <c r="A214" s="12">
        <f>Calculator!$D$6+209</f>
        <v>46522</v>
      </c>
      <c r="B214" s="13">
        <f>A214-Calculator!$D$6</f>
        <v>209</v>
      </c>
      <c r="C214" s="14">
        <f t="shared" si="21"/>
        <v>0.57260273972602738</v>
      </c>
      <c r="D214" s="15">
        <f t="shared" si="22"/>
        <v>9.25</v>
      </c>
      <c r="E214" s="15">
        <f t="shared" si="23"/>
        <v>11.5</v>
      </c>
      <c r="F214" s="15">
        <f t="shared" si="24"/>
        <v>13.75</v>
      </c>
      <c r="G214" s="15">
        <f t="shared" si="25"/>
        <v>18.25</v>
      </c>
      <c r="H214" s="15">
        <f t="shared" si="26"/>
        <v>20.5</v>
      </c>
      <c r="I214" s="15">
        <f t="shared" si="27"/>
        <v>23</v>
      </c>
    </row>
    <row r="215" spans="1:9" x14ac:dyDescent="0.2">
      <c r="A215" s="8">
        <f>Calculator!$D$6+210</f>
        <v>46523</v>
      </c>
      <c r="B215" s="9">
        <f>A215-Calculator!$D$6</f>
        <v>210</v>
      </c>
      <c r="C215" s="10">
        <f t="shared" si="21"/>
        <v>0.57534246575342463</v>
      </c>
      <c r="D215" s="11">
        <f t="shared" si="22"/>
        <v>9.25</v>
      </c>
      <c r="E215" s="11">
        <f t="shared" si="23"/>
        <v>11.5</v>
      </c>
      <c r="F215" s="11">
        <f t="shared" si="24"/>
        <v>13.75</v>
      </c>
      <c r="G215" s="11">
        <f t="shared" si="25"/>
        <v>18.5</v>
      </c>
      <c r="H215" s="11">
        <f t="shared" si="26"/>
        <v>20.75</v>
      </c>
      <c r="I215" s="11">
        <f t="shared" si="27"/>
        <v>23</v>
      </c>
    </row>
    <row r="216" spans="1:9" x14ac:dyDescent="0.2">
      <c r="A216" s="12">
        <f>Calculator!$D$6+211</f>
        <v>46524</v>
      </c>
      <c r="B216" s="13">
        <f>A216-Calculator!$D$6</f>
        <v>211</v>
      </c>
      <c r="C216" s="14">
        <f t="shared" si="21"/>
        <v>0.57808219178082187</v>
      </c>
      <c r="D216" s="15">
        <f t="shared" si="22"/>
        <v>9.25</v>
      </c>
      <c r="E216" s="15">
        <f t="shared" si="23"/>
        <v>11.5</v>
      </c>
      <c r="F216" s="15">
        <f t="shared" si="24"/>
        <v>13.75</v>
      </c>
      <c r="G216" s="15">
        <f t="shared" si="25"/>
        <v>18.5</v>
      </c>
      <c r="H216" s="15">
        <f t="shared" si="26"/>
        <v>20.75</v>
      </c>
      <c r="I216" s="15">
        <f t="shared" si="27"/>
        <v>23</v>
      </c>
    </row>
    <row r="217" spans="1:9" x14ac:dyDescent="0.2">
      <c r="A217" s="8">
        <f>Calculator!$D$6+212</f>
        <v>46525</v>
      </c>
      <c r="B217" s="9">
        <f>A217-Calculator!$D$6</f>
        <v>212</v>
      </c>
      <c r="C217" s="10">
        <f t="shared" si="21"/>
        <v>0.58082191780821912</v>
      </c>
      <c r="D217" s="11">
        <f t="shared" si="22"/>
        <v>9.25</v>
      </c>
      <c r="E217" s="11">
        <f t="shared" si="23"/>
        <v>11.5</v>
      </c>
      <c r="F217" s="11">
        <f t="shared" si="24"/>
        <v>14</v>
      </c>
      <c r="G217" s="11">
        <f t="shared" si="25"/>
        <v>18.5</v>
      </c>
      <c r="H217" s="11">
        <f t="shared" si="26"/>
        <v>21</v>
      </c>
      <c r="I217" s="11">
        <f t="shared" si="27"/>
        <v>23.25</v>
      </c>
    </row>
    <row r="218" spans="1:9" x14ac:dyDescent="0.2">
      <c r="A218" s="12">
        <f>Calculator!$D$6+213</f>
        <v>46526</v>
      </c>
      <c r="B218" s="13">
        <f>A218-Calculator!$D$6</f>
        <v>213</v>
      </c>
      <c r="C218" s="14">
        <f t="shared" si="21"/>
        <v>0.58356164383561648</v>
      </c>
      <c r="D218" s="15">
        <f t="shared" si="22"/>
        <v>9.25</v>
      </c>
      <c r="E218" s="15">
        <f t="shared" si="23"/>
        <v>11.75</v>
      </c>
      <c r="F218" s="15">
        <f t="shared" si="24"/>
        <v>14</v>
      </c>
      <c r="G218" s="15">
        <f t="shared" si="25"/>
        <v>18.75</v>
      </c>
      <c r="H218" s="15">
        <f t="shared" si="26"/>
        <v>21</v>
      </c>
      <c r="I218" s="15">
        <f t="shared" si="27"/>
        <v>23.25</v>
      </c>
    </row>
    <row r="219" spans="1:9" x14ac:dyDescent="0.2">
      <c r="A219" s="8">
        <f>Calculator!$D$6+214</f>
        <v>46527</v>
      </c>
      <c r="B219" s="9">
        <f>A219-Calculator!$D$6</f>
        <v>214</v>
      </c>
      <c r="C219" s="10">
        <f t="shared" si="21"/>
        <v>0.58630136986301373</v>
      </c>
      <c r="D219" s="11">
        <f t="shared" si="22"/>
        <v>9.5</v>
      </c>
      <c r="E219" s="11">
        <f t="shared" si="23"/>
        <v>11.75</v>
      </c>
      <c r="F219" s="11">
        <f t="shared" si="24"/>
        <v>14</v>
      </c>
      <c r="G219" s="11">
        <f t="shared" si="25"/>
        <v>18.75</v>
      </c>
      <c r="H219" s="11">
        <f t="shared" si="26"/>
        <v>21</v>
      </c>
      <c r="I219" s="11">
        <f t="shared" si="27"/>
        <v>23.5</v>
      </c>
    </row>
    <row r="220" spans="1:9" x14ac:dyDescent="0.2">
      <c r="A220" s="12">
        <f>Calculator!$D$6+215</f>
        <v>46528</v>
      </c>
      <c r="B220" s="13">
        <f>A220-Calculator!$D$6</f>
        <v>215</v>
      </c>
      <c r="C220" s="14">
        <f t="shared" si="21"/>
        <v>0.58904109589041098</v>
      </c>
      <c r="D220" s="15">
        <f t="shared" si="22"/>
        <v>9.5</v>
      </c>
      <c r="E220" s="15">
        <f t="shared" si="23"/>
        <v>11.75</v>
      </c>
      <c r="F220" s="15">
        <f t="shared" si="24"/>
        <v>14.25</v>
      </c>
      <c r="G220" s="15">
        <f t="shared" si="25"/>
        <v>18.75</v>
      </c>
      <c r="H220" s="15">
        <f t="shared" si="26"/>
        <v>21.25</v>
      </c>
      <c r="I220" s="15">
        <f t="shared" si="27"/>
        <v>23.5</v>
      </c>
    </row>
    <row r="221" spans="1:9" x14ac:dyDescent="0.2">
      <c r="A221" s="8">
        <f>Calculator!$D$6+216</f>
        <v>46529</v>
      </c>
      <c r="B221" s="9">
        <f>A221-Calculator!$D$6</f>
        <v>216</v>
      </c>
      <c r="C221" s="10">
        <f t="shared" si="21"/>
        <v>0.59178082191780823</v>
      </c>
      <c r="D221" s="11">
        <f t="shared" si="22"/>
        <v>9.5</v>
      </c>
      <c r="E221" s="11">
        <f t="shared" si="23"/>
        <v>11.75</v>
      </c>
      <c r="F221" s="11">
        <f t="shared" si="24"/>
        <v>14.25</v>
      </c>
      <c r="G221" s="11">
        <f t="shared" si="25"/>
        <v>19</v>
      </c>
      <c r="H221" s="11">
        <f t="shared" si="26"/>
        <v>21.25</v>
      </c>
      <c r="I221" s="11">
        <f t="shared" si="27"/>
        <v>23.75</v>
      </c>
    </row>
    <row r="222" spans="1:9" x14ac:dyDescent="0.2">
      <c r="A222" s="12">
        <f>Calculator!$D$6+217</f>
        <v>46530</v>
      </c>
      <c r="B222" s="13">
        <f>A222-Calculator!$D$6</f>
        <v>217</v>
      </c>
      <c r="C222" s="14">
        <f t="shared" si="21"/>
        <v>0.59452054794520548</v>
      </c>
      <c r="D222" s="15">
        <f t="shared" si="22"/>
        <v>9.5</v>
      </c>
      <c r="E222" s="15">
        <f t="shared" si="23"/>
        <v>12</v>
      </c>
      <c r="F222" s="15">
        <f t="shared" si="24"/>
        <v>14.25</v>
      </c>
      <c r="G222" s="15">
        <f t="shared" si="25"/>
        <v>19</v>
      </c>
      <c r="H222" s="15">
        <f t="shared" si="26"/>
        <v>21.5</v>
      </c>
      <c r="I222" s="15">
        <f t="shared" si="27"/>
        <v>23.75</v>
      </c>
    </row>
    <row r="223" spans="1:9" x14ac:dyDescent="0.2">
      <c r="A223" s="8">
        <f>Calculator!$D$6+218</f>
        <v>46531</v>
      </c>
      <c r="B223" s="9">
        <f>A223-Calculator!$D$6</f>
        <v>218</v>
      </c>
      <c r="C223" s="10">
        <f t="shared" si="21"/>
        <v>0.59726027397260273</v>
      </c>
      <c r="D223" s="11">
        <f t="shared" si="22"/>
        <v>9.5</v>
      </c>
      <c r="E223" s="11">
        <f t="shared" si="23"/>
        <v>12</v>
      </c>
      <c r="F223" s="11">
        <f t="shared" si="24"/>
        <v>14.25</v>
      </c>
      <c r="G223" s="11">
        <f t="shared" si="25"/>
        <v>19</v>
      </c>
      <c r="H223" s="11">
        <f t="shared" si="26"/>
        <v>21.5</v>
      </c>
      <c r="I223" s="11">
        <f t="shared" si="27"/>
        <v>24</v>
      </c>
    </row>
    <row r="224" spans="1:9" x14ac:dyDescent="0.2">
      <c r="A224" s="12">
        <f>Calculator!$D$6+219</f>
        <v>46532</v>
      </c>
      <c r="B224" s="13">
        <f>A224-Calculator!$D$6</f>
        <v>219</v>
      </c>
      <c r="C224" s="14">
        <f t="shared" si="21"/>
        <v>0.6</v>
      </c>
      <c r="D224" s="15">
        <f t="shared" si="22"/>
        <v>9.5</v>
      </c>
      <c r="E224" s="15">
        <f t="shared" si="23"/>
        <v>12</v>
      </c>
      <c r="F224" s="15">
        <f t="shared" si="24"/>
        <v>14.5</v>
      </c>
      <c r="G224" s="15">
        <f t="shared" si="25"/>
        <v>19.25</v>
      </c>
      <c r="H224" s="15">
        <f t="shared" si="26"/>
        <v>21.5</v>
      </c>
      <c r="I224" s="15">
        <f t="shared" si="27"/>
        <v>24</v>
      </c>
    </row>
    <row r="225" spans="1:9" x14ac:dyDescent="0.2">
      <c r="A225" s="8">
        <f>Calculator!$D$6+220</f>
        <v>46533</v>
      </c>
      <c r="B225" s="9">
        <f>A225-Calculator!$D$6</f>
        <v>220</v>
      </c>
      <c r="C225" s="10">
        <f t="shared" si="21"/>
        <v>0.60273972602739723</v>
      </c>
      <c r="D225" s="11">
        <f t="shared" si="22"/>
        <v>9.75</v>
      </c>
      <c r="E225" s="11">
        <f t="shared" si="23"/>
        <v>12</v>
      </c>
      <c r="F225" s="11">
        <f t="shared" si="24"/>
        <v>14.5</v>
      </c>
      <c r="G225" s="11">
        <f t="shared" si="25"/>
        <v>19.25</v>
      </c>
      <c r="H225" s="11">
        <f t="shared" si="26"/>
        <v>21.75</v>
      </c>
      <c r="I225" s="11">
        <f t="shared" si="27"/>
        <v>24</v>
      </c>
    </row>
    <row r="226" spans="1:9" x14ac:dyDescent="0.2">
      <c r="A226" s="12">
        <f>Calculator!$D$6+221</f>
        <v>46534</v>
      </c>
      <c r="B226" s="13">
        <f>A226-Calculator!$D$6</f>
        <v>221</v>
      </c>
      <c r="C226" s="14">
        <f t="shared" si="21"/>
        <v>0.60547945205479448</v>
      </c>
      <c r="D226" s="15">
        <f t="shared" si="22"/>
        <v>9.75</v>
      </c>
      <c r="E226" s="15">
        <f t="shared" si="23"/>
        <v>12</v>
      </c>
      <c r="F226" s="15">
        <f t="shared" si="24"/>
        <v>14.5</v>
      </c>
      <c r="G226" s="15">
        <f t="shared" si="25"/>
        <v>19.5</v>
      </c>
      <c r="H226" s="15">
        <f t="shared" si="26"/>
        <v>21.75</v>
      </c>
      <c r="I226" s="15">
        <f t="shared" si="27"/>
        <v>24.25</v>
      </c>
    </row>
    <row r="227" spans="1:9" x14ac:dyDescent="0.2">
      <c r="A227" s="8">
        <f>Calculator!$D$6+222</f>
        <v>46535</v>
      </c>
      <c r="B227" s="9">
        <f>A227-Calculator!$D$6</f>
        <v>222</v>
      </c>
      <c r="C227" s="10">
        <f t="shared" si="21"/>
        <v>0.60821917808219184</v>
      </c>
      <c r="D227" s="11">
        <f t="shared" si="22"/>
        <v>9.75</v>
      </c>
      <c r="E227" s="11">
        <f t="shared" si="23"/>
        <v>12.25</v>
      </c>
      <c r="F227" s="11">
        <f t="shared" si="24"/>
        <v>14.5</v>
      </c>
      <c r="G227" s="11">
        <f t="shared" si="25"/>
        <v>19.5</v>
      </c>
      <c r="H227" s="11">
        <f t="shared" si="26"/>
        <v>22</v>
      </c>
      <c r="I227" s="11">
        <f t="shared" si="27"/>
        <v>24.25</v>
      </c>
    </row>
    <row r="228" spans="1:9" x14ac:dyDescent="0.2">
      <c r="A228" s="12">
        <f>Calculator!$D$6+223</f>
        <v>46536</v>
      </c>
      <c r="B228" s="13">
        <f>A228-Calculator!$D$6</f>
        <v>223</v>
      </c>
      <c r="C228" s="14">
        <f t="shared" si="21"/>
        <v>0.61095890410958908</v>
      </c>
      <c r="D228" s="15">
        <f t="shared" si="22"/>
        <v>9.75</v>
      </c>
      <c r="E228" s="15">
        <f t="shared" si="23"/>
        <v>12.25</v>
      </c>
      <c r="F228" s="15">
        <f t="shared" si="24"/>
        <v>14.75</v>
      </c>
      <c r="G228" s="15">
        <f t="shared" si="25"/>
        <v>19.5</v>
      </c>
      <c r="H228" s="15">
        <f t="shared" si="26"/>
        <v>22</v>
      </c>
      <c r="I228" s="15">
        <f t="shared" si="27"/>
        <v>24.5</v>
      </c>
    </row>
    <row r="229" spans="1:9" x14ac:dyDescent="0.2">
      <c r="A229" s="8">
        <f>Calculator!$D$6+224</f>
        <v>46537</v>
      </c>
      <c r="B229" s="9">
        <f>A229-Calculator!$D$6</f>
        <v>224</v>
      </c>
      <c r="C229" s="10">
        <f t="shared" si="21"/>
        <v>0.61369863013698633</v>
      </c>
      <c r="D229" s="11">
        <f t="shared" si="22"/>
        <v>9.75</v>
      </c>
      <c r="E229" s="11">
        <f t="shared" si="23"/>
        <v>12.25</v>
      </c>
      <c r="F229" s="11">
        <f t="shared" si="24"/>
        <v>14.75</v>
      </c>
      <c r="G229" s="11">
        <f t="shared" si="25"/>
        <v>19.75</v>
      </c>
      <c r="H229" s="11">
        <f t="shared" si="26"/>
        <v>22</v>
      </c>
      <c r="I229" s="11">
        <f t="shared" si="27"/>
        <v>24.5</v>
      </c>
    </row>
    <row r="230" spans="1:9" x14ac:dyDescent="0.2">
      <c r="A230" s="12">
        <f>Calculator!$D$6+225</f>
        <v>46538</v>
      </c>
      <c r="B230" s="13">
        <f>A230-Calculator!$D$6</f>
        <v>225</v>
      </c>
      <c r="C230" s="14">
        <f t="shared" si="21"/>
        <v>0.61643835616438358</v>
      </c>
      <c r="D230" s="15">
        <f t="shared" si="22"/>
        <v>9.75</v>
      </c>
      <c r="E230" s="15">
        <f t="shared" si="23"/>
        <v>12.25</v>
      </c>
      <c r="F230" s="15">
        <f t="shared" si="24"/>
        <v>14.75</v>
      </c>
      <c r="G230" s="15">
        <f t="shared" si="25"/>
        <v>19.75</v>
      </c>
      <c r="H230" s="15">
        <f t="shared" si="26"/>
        <v>22.25</v>
      </c>
      <c r="I230" s="15">
        <f t="shared" si="27"/>
        <v>24.75</v>
      </c>
    </row>
    <row r="231" spans="1:9" x14ac:dyDescent="0.2">
      <c r="A231" s="8">
        <f>Calculator!$D$6+226</f>
        <v>46539</v>
      </c>
      <c r="B231" s="9">
        <f>A231-Calculator!$D$6</f>
        <v>226</v>
      </c>
      <c r="C231" s="10">
        <f t="shared" si="21"/>
        <v>0.61917808219178083</v>
      </c>
      <c r="D231" s="11">
        <f t="shared" si="22"/>
        <v>10</v>
      </c>
      <c r="E231" s="11">
        <f t="shared" si="23"/>
        <v>12.5</v>
      </c>
      <c r="F231" s="11">
        <f t="shared" si="24"/>
        <v>14.75</v>
      </c>
      <c r="G231" s="11">
        <f t="shared" si="25"/>
        <v>19.75</v>
      </c>
      <c r="H231" s="11">
        <f t="shared" si="26"/>
        <v>22.25</v>
      </c>
      <c r="I231" s="11">
        <f t="shared" si="27"/>
        <v>24.75</v>
      </c>
    </row>
    <row r="232" spans="1:9" x14ac:dyDescent="0.2">
      <c r="A232" s="12">
        <f>Calculator!$D$6+227</f>
        <v>46540</v>
      </c>
      <c r="B232" s="13">
        <f>A232-Calculator!$D$6</f>
        <v>227</v>
      </c>
      <c r="C232" s="14">
        <f t="shared" si="21"/>
        <v>0.62191780821917808</v>
      </c>
      <c r="D232" s="15">
        <f t="shared" si="22"/>
        <v>10</v>
      </c>
      <c r="E232" s="15">
        <f t="shared" si="23"/>
        <v>12.5</v>
      </c>
      <c r="F232" s="15">
        <f t="shared" si="24"/>
        <v>15</v>
      </c>
      <c r="G232" s="15">
        <f t="shared" si="25"/>
        <v>20</v>
      </c>
      <c r="H232" s="15">
        <f t="shared" si="26"/>
        <v>22.5</v>
      </c>
      <c r="I232" s="15">
        <f t="shared" si="27"/>
        <v>25</v>
      </c>
    </row>
    <row r="233" spans="1:9" x14ac:dyDescent="0.2">
      <c r="A233" s="8">
        <f>Calculator!$D$6+228</f>
        <v>46541</v>
      </c>
      <c r="B233" s="9">
        <f>A233-Calculator!$D$6</f>
        <v>228</v>
      </c>
      <c r="C233" s="10">
        <f t="shared" si="21"/>
        <v>0.62465753424657533</v>
      </c>
      <c r="D233" s="11">
        <f t="shared" si="22"/>
        <v>10</v>
      </c>
      <c r="E233" s="11">
        <f t="shared" si="23"/>
        <v>12.5</v>
      </c>
      <c r="F233" s="11">
        <f t="shared" si="24"/>
        <v>15</v>
      </c>
      <c r="G233" s="11">
        <f t="shared" si="25"/>
        <v>20</v>
      </c>
      <c r="H233" s="11">
        <f t="shared" si="26"/>
        <v>22.5</v>
      </c>
      <c r="I233" s="11">
        <f t="shared" si="27"/>
        <v>25</v>
      </c>
    </row>
    <row r="234" spans="1:9" x14ac:dyDescent="0.2">
      <c r="A234" s="12">
        <f>Calculator!$D$6+229</f>
        <v>46542</v>
      </c>
      <c r="B234" s="13">
        <f>A234-Calculator!$D$6</f>
        <v>229</v>
      </c>
      <c r="C234" s="14">
        <f t="shared" si="21"/>
        <v>0.62739726027397258</v>
      </c>
      <c r="D234" s="15">
        <f t="shared" si="22"/>
        <v>10</v>
      </c>
      <c r="E234" s="15">
        <f t="shared" si="23"/>
        <v>12.5</v>
      </c>
      <c r="F234" s="15">
        <f t="shared" si="24"/>
        <v>15</v>
      </c>
      <c r="G234" s="15">
        <f t="shared" si="25"/>
        <v>20</v>
      </c>
      <c r="H234" s="15">
        <f t="shared" si="26"/>
        <v>22.5</v>
      </c>
      <c r="I234" s="15">
        <f t="shared" si="27"/>
        <v>25</v>
      </c>
    </row>
    <row r="235" spans="1:9" x14ac:dyDescent="0.2">
      <c r="A235" s="8">
        <f>Calculator!$D$6+230</f>
        <v>46543</v>
      </c>
      <c r="B235" s="9">
        <f>A235-Calculator!$D$6</f>
        <v>230</v>
      </c>
      <c r="C235" s="10">
        <f t="shared" si="21"/>
        <v>0.63013698630136983</v>
      </c>
      <c r="D235" s="11">
        <f t="shared" si="22"/>
        <v>10</v>
      </c>
      <c r="E235" s="11">
        <f t="shared" si="23"/>
        <v>12.5</v>
      </c>
      <c r="F235" s="11">
        <f t="shared" si="24"/>
        <v>15</v>
      </c>
      <c r="G235" s="11">
        <f t="shared" si="25"/>
        <v>20.25</v>
      </c>
      <c r="H235" s="11">
        <f t="shared" si="26"/>
        <v>22.75</v>
      </c>
      <c r="I235" s="11">
        <f t="shared" si="27"/>
        <v>25.25</v>
      </c>
    </row>
    <row r="236" spans="1:9" x14ac:dyDescent="0.2">
      <c r="A236" s="12">
        <f>Calculator!$D$6+231</f>
        <v>46544</v>
      </c>
      <c r="B236" s="13">
        <f>A236-Calculator!$D$6</f>
        <v>231</v>
      </c>
      <c r="C236" s="14">
        <f t="shared" si="21"/>
        <v>0.63287671232876708</v>
      </c>
      <c r="D236" s="15">
        <f t="shared" si="22"/>
        <v>10.25</v>
      </c>
      <c r="E236" s="15">
        <f t="shared" si="23"/>
        <v>12.75</v>
      </c>
      <c r="F236" s="15">
        <f t="shared" si="24"/>
        <v>15.25</v>
      </c>
      <c r="G236" s="15">
        <f t="shared" si="25"/>
        <v>20.25</v>
      </c>
      <c r="H236" s="15">
        <f t="shared" si="26"/>
        <v>22.75</v>
      </c>
      <c r="I236" s="15">
        <f t="shared" si="27"/>
        <v>25.25</v>
      </c>
    </row>
    <row r="237" spans="1:9" x14ac:dyDescent="0.2">
      <c r="A237" s="8">
        <f>Calculator!$D$6+232</f>
        <v>46545</v>
      </c>
      <c r="B237" s="9">
        <f>A237-Calculator!$D$6</f>
        <v>232</v>
      </c>
      <c r="C237" s="10">
        <f t="shared" si="21"/>
        <v>0.63561643835616444</v>
      </c>
      <c r="D237" s="11">
        <f t="shared" si="22"/>
        <v>10.25</v>
      </c>
      <c r="E237" s="11">
        <f t="shared" si="23"/>
        <v>12.75</v>
      </c>
      <c r="F237" s="11">
        <f t="shared" si="24"/>
        <v>15.25</v>
      </c>
      <c r="G237" s="11">
        <f t="shared" si="25"/>
        <v>20.25</v>
      </c>
      <c r="H237" s="11">
        <f t="shared" si="26"/>
        <v>23</v>
      </c>
      <c r="I237" s="11">
        <f t="shared" si="27"/>
        <v>25.5</v>
      </c>
    </row>
    <row r="238" spans="1:9" x14ac:dyDescent="0.2">
      <c r="A238" s="12">
        <f>Calculator!$D$6+233</f>
        <v>46546</v>
      </c>
      <c r="B238" s="13">
        <f>A238-Calculator!$D$6</f>
        <v>233</v>
      </c>
      <c r="C238" s="14">
        <f t="shared" si="21"/>
        <v>0.63835616438356169</v>
      </c>
      <c r="D238" s="15">
        <f t="shared" si="22"/>
        <v>10.25</v>
      </c>
      <c r="E238" s="15">
        <f t="shared" si="23"/>
        <v>12.75</v>
      </c>
      <c r="F238" s="15">
        <f t="shared" si="24"/>
        <v>15.25</v>
      </c>
      <c r="G238" s="15">
        <f t="shared" si="25"/>
        <v>20.5</v>
      </c>
      <c r="H238" s="15">
        <f t="shared" si="26"/>
        <v>23</v>
      </c>
      <c r="I238" s="15">
        <f t="shared" si="27"/>
        <v>25.5</v>
      </c>
    </row>
    <row r="239" spans="1:9" x14ac:dyDescent="0.2">
      <c r="A239" s="8">
        <f>Calculator!$D$6+234</f>
        <v>46547</v>
      </c>
      <c r="B239" s="9">
        <f>A239-Calculator!$D$6</f>
        <v>234</v>
      </c>
      <c r="C239" s="10">
        <f t="shared" si="21"/>
        <v>0.64109589041095894</v>
      </c>
      <c r="D239" s="11">
        <f t="shared" si="22"/>
        <v>10.25</v>
      </c>
      <c r="E239" s="11">
        <f t="shared" si="23"/>
        <v>12.75</v>
      </c>
      <c r="F239" s="11">
        <f t="shared" si="24"/>
        <v>15.5</v>
      </c>
      <c r="G239" s="11">
        <f t="shared" si="25"/>
        <v>20.5</v>
      </c>
      <c r="H239" s="11">
        <f t="shared" si="26"/>
        <v>23</v>
      </c>
      <c r="I239" s="11">
        <f t="shared" si="27"/>
        <v>25.75</v>
      </c>
    </row>
    <row r="240" spans="1:9" x14ac:dyDescent="0.2">
      <c r="A240" s="12">
        <f>Calculator!$D$6+235</f>
        <v>46548</v>
      </c>
      <c r="B240" s="13">
        <f>A240-Calculator!$D$6</f>
        <v>235</v>
      </c>
      <c r="C240" s="14">
        <f t="shared" si="21"/>
        <v>0.64383561643835618</v>
      </c>
      <c r="D240" s="15">
        <f t="shared" si="22"/>
        <v>10.25</v>
      </c>
      <c r="E240" s="15">
        <f t="shared" si="23"/>
        <v>13</v>
      </c>
      <c r="F240" s="15">
        <f t="shared" si="24"/>
        <v>15.5</v>
      </c>
      <c r="G240" s="15">
        <f t="shared" si="25"/>
        <v>20.5</v>
      </c>
      <c r="H240" s="15">
        <f t="shared" si="26"/>
        <v>23.25</v>
      </c>
      <c r="I240" s="15">
        <f t="shared" si="27"/>
        <v>25.75</v>
      </c>
    </row>
    <row r="241" spans="1:9" x14ac:dyDescent="0.2">
      <c r="A241" s="8">
        <f>Calculator!$D$6+236</f>
        <v>46549</v>
      </c>
      <c r="B241" s="9">
        <f>A241-Calculator!$D$6</f>
        <v>236</v>
      </c>
      <c r="C241" s="10">
        <f t="shared" si="21"/>
        <v>0.64657534246575343</v>
      </c>
      <c r="D241" s="11">
        <f t="shared" si="22"/>
        <v>10.25</v>
      </c>
      <c r="E241" s="11">
        <f t="shared" si="23"/>
        <v>13</v>
      </c>
      <c r="F241" s="11">
        <f t="shared" si="24"/>
        <v>15.5</v>
      </c>
      <c r="G241" s="11">
        <f t="shared" si="25"/>
        <v>20.75</v>
      </c>
      <c r="H241" s="11">
        <f t="shared" si="26"/>
        <v>23.25</v>
      </c>
      <c r="I241" s="11">
        <f t="shared" si="27"/>
        <v>25.75</v>
      </c>
    </row>
    <row r="242" spans="1:9" x14ac:dyDescent="0.2">
      <c r="A242" s="12">
        <f>Calculator!$D$6+237</f>
        <v>46550</v>
      </c>
      <c r="B242" s="13">
        <f>A242-Calculator!$D$6</f>
        <v>237</v>
      </c>
      <c r="C242" s="14">
        <f t="shared" si="21"/>
        <v>0.64931506849315068</v>
      </c>
      <c r="D242" s="15">
        <f t="shared" si="22"/>
        <v>10.5</v>
      </c>
      <c r="E242" s="15">
        <f t="shared" si="23"/>
        <v>13</v>
      </c>
      <c r="F242" s="15">
        <f t="shared" si="24"/>
        <v>15.5</v>
      </c>
      <c r="G242" s="15">
        <f t="shared" si="25"/>
        <v>20.75</v>
      </c>
      <c r="H242" s="15">
        <f t="shared" si="26"/>
        <v>23.5</v>
      </c>
      <c r="I242" s="15">
        <f t="shared" si="27"/>
        <v>26</v>
      </c>
    </row>
    <row r="243" spans="1:9" x14ac:dyDescent="0.2">
      <c r="A243" s="8">
        <f>Calculator!$D$6+238</f>
        <v>46551</v>
      </c>
      <c r="B243" s="9">
        <f>A243-Calculator!$D$6</f>
        <v>238</v>
      </c>
      <c r="C243" s="10">
        <f t="shared" si="21"/>
        <v>0.65205479452054793</v>
      </c>
      <c r="D243" s="11">
        <f t="shared" si="22"/>
        <v>10.5</v>
      </c>
      <c r="E243" s="11">
        <f t="shared" si="23"/>
        <v>13</v>
      </c>
      <c r="F243" s="11">
        <f t="shared" si="24"/>
        <v>15.75</v>
      </c>
      <c r="G243" s="11">
        <f t="shared" si="25"/>
        <v>20.75</v>
      </c>
      <c r="H243" s="11">
        <f t="shared" si="26"/>
        <v>23.5</v>
      </c>
      <c r="I243" s="11">
        <f t="shared" si="27"/>
        <v>26</v>
      </c>
    </row>
    <row r="244" spans="1:9" x14ac:dyDescent="0.2">
      <c r="A244" s="12">
        <f>Calculator!$D$6+239</f>
        <v>46552</v>
      </c>
      <c r="B244" s="13">
        <f>A244-Calculator!$D$6</f>
        <v>239</v>
      </c>
      <c r="C244" s="14">
        <f t="shared" si="21"/>
        <v>0.65479452054794518</v>
      </c>
      <c r="D244" s="15">
        <f t="shared" si="22"/>
        <v>10.5</v>
      </c>
      <c r="E244" s="15">
        <f t="shared" si="23"/>
        <v>13</v>
      </c>
      <c r="F244" s="15">
        <f t="shared" si="24"/>
        <v>15.75</v>
      </c>
      <c r="G244" s="15">
        <f t="shared" si="25"/>
        <v>21</v>
      </c>
      <c r="H244" s="15">
        <f t="shared" si="26"/>
        <v>23.5</v>
      </c>
      <c r="I244" s="15">
        <f t="shared" si="27"/>
        <v>26.25</v>
      </c>
    </row>
    <row r="245" spans="1:9" x14ac:dyDescent="0.2">
      <c r="A245" s="8">
        <f>Calculator!$D$6+240</f>
        <v>46553</v>
      </c>
      <c r="B245" s="9">
        <f>A245-Calculator!$D$6</f>
        <v>240</v>
      </c>
      <c r="C245" s="10">
        <f t="shared" si="21"/>
        <v>0.65753424657534243</v>
      </c>
      <c r="D245" s="11">
        <f t="shared" si="22"/>
        <v>10.5</v>
      </c>
      <c r="E245" s="11">
        <f t="shared" si="23"/>
        <v>13.25</v>
      </c>
      <c r="F245" s="11">
        <f t="shared" si="24"/>
        <v>15.75</v>
      </c>
      <c r="G245" s="11">
        <f t="shared" si="25"/>
        <v>21</v>
      </c>
      <c r="H245" s="11">
        <f t="shared" si="26"/>
        <v>23.75</v>
      </c>
      <c r="I245" s="11">
        <f t="shared" si="27"/>
        <v>26.25</v>
      </c>
    </row>
    <row r="246" spans="1:9" x14ac:dyDescent="0.2">
      <c r="A246" s="12">
        <f>Calculator!$D$6+241</f>
        <v>46554</v>
      </c>
      <c r="B246" s="13">
        <f>A246-Calculator!$D$6</f>
        <v>241</v>
      </c>
      <c r="C246" s="14">
        <f t="shared" si="21"/>
        <v>0.66027397260273968</v>
      </c>
      <c r="D246" s="15">
        <f t="shared" si="22"/>
        <v>10.5</v>
      </c>
      <c r="E246" s="15">
        <f t="shared" si="23"/>
        <v>13.25</v>
      </c>
      <c r="F246" s="15">
        <f t="shared" si="24"/>
        <v>15.75</v>
      </c>
      <c r="G246" s="15">
        <f t="shared" si="25"/>
        <v>21.25</v>
      </c>
      <c r="H246" s="15">
        <f t="shared" si="26"/>
        <v>23.75</v>
      </c>
      <c r="I246" s="15">
        <f t="shared" si="27"/>
        <v>26.5</v>
      </c>
    </row>
    <row r="247" spans="1:9" x14ac:dyDescent="0.2">
      <c r="A247" s="8">
        <f>Calculator!$D$6+242</f>
        <v>46555</v>
      </c>
      <c r="B247" s="9">
        <f>A247-Calculator!$D$6</f>
        <v>242</v>
      </c>
      <c r="C247" s="10">
        <f t="shared" si="21"/>
        <v>0.66301369863013704</v>
      </c>
      <c r="D247" s="11">
        <f t="shared" si="22"/>
        <v>10.5</v>
      </c>
      <c r="E247" s="11">
        <f t="shared" si="23"/>
        <v>13.25</v>
      </c>
      <c r="F247" s="11">
        <f t="shared" si="24"/>
        <v>16</v>
      </c>
      <c r="G247" s="11">
        <f t="shared" si="25"/>
        <v>21.25</v>
      </c>
      <c r="H247" s="11">
        <f t="shared" si="26"/>
        <v>23.75</v>
      </c>
      <c r="I247" s="11">
        <f t="shared" si="27"/>
        <v>26.5</v>
      </c>
    </row>
    <row r="248" spans="1:9" x14ac:dyDescent="0.2">
      <c r="A248" s="12">
        <f>Calculator!$D$6+243</f>
        <v>46556</v>
      </c>
      <c r="B248" s="13">
        <f>A248-Calculator!$D$6</f>
        <v>243</v>
      </c>
      <c r="C248" s="14">
        <f t="shared" si="21"/>
        <v>0.66575342465753429</v>
      </c>
      <c r="D248" s="15">
        <f t="shared" si="22"/>
        <v>10.75</v>
      </c>
      <c r="E248" s="15">
        <f t="shared" si="23"/>
        <v>13.25</v>
      </c>
      <c r="F248" s="15">
        <f t="shared" si="24"/>
        <v>16</v>
      </c>
      <c r="G248" s="15">
        <f t="shared" si="25"/>
        <v>21.25</v>
      </c>
      <c r="H248" s="15">
        <f t="shared" si="26"/>
        <v>24</v>
      </c>
      <c r="I248" s="15">
        <f t="shared" si="27"/>
        <v>26.75</v>
      </c>
    </row>
    <row r="249" spans="1:9" x14ac:dyDescent="0.2">
      <c r="A249" s="8">
        <f>Calculator!$D$6+244</f>
        <v>46557</v>
      </c>
      <c r="B249" s="9">
        <f>A249-Calculator!$D$6</f>
        <v>244</v>
      </c>
      <c r="C249" s="10">
        <f t="shared" si="21"/>
        <v>0.66849315068493154</v>
      </c>
      <c r="D249" s="11">
        <f t="shared" si="22"/>
        <v>10.75</v>
      </c>
      <c r="E249" s="11">
        <f t="shared" si="23"/>
        <v>13.25</v>
      </c>
      <c r="F249" s="11">
        <f t="shared" si="24"/>
        <v>16</v>
      </c>
      <c r="G249" s="11">
        <f t="shared" si="25"/>
        <v>21.5</v>
      </c>
      <c r="H249" s="11">
        <f t="shared" si="26"/>
        <v>24</v>
      </c>
      <c r="I249" s="11">
        <f t="shared" si="27"/>
        <v>26.75</v>
      </c>
    </row>
    <row r="250" spans="1:9" x14ac:dyDescent="0.2">
      <c r="A250" s="12">
        <f>Calculator!$D$6+245</f>
        <v>46558</v>
      </c>
      <c r="B250" s="13">
        <f>A250-Calculator!$D$6</f>
        <v>245</v>
      </c>
      <c r="C250" s="14">
        <f t="shared" si="21"/>
        <v>0.67123287671232879</v>
      </c>
      <c r="D250" s="15">
        <f t="shared" si="22"/>
        <v>10.75</v>
      </c>
      <c r="E250" s="15">
        <f t="shared" si="23"/>
        <v>13.5</v>
      </c>
      <c r="F250" s="15">
        <f t="shared" si="24"/>
        <v>16</v>
      </c>
      <c r="G250" s="15">
        <f t="shared" si="25"/>
        <v>21.5</v>
      </c>
      <c r="H250" s="15">
        <f t="shared" si="26"/>
        <v>24.25</v>
      </c>
      <c r="I250" s="15">
        <f t="shared" si="27"/>
        <v>26.75</v>
      </c>
    </row>
    <row r="251" spans="1:9" x14ac:dyDescent="0.2">
      <c r="A251" s="8">
        <f>Calculator!$D$6+246</f>
        <v>46559</v>
      </c>
      <c r="B251" s="9">
        <f>A251-Calculator!$D$6</f>
        <v>246</v>
      </c>
      <c r="C251" s="10">
        <f t="shared" si="21"/>
        <v>0.67397260273972603</v>
      </c>
      <c r="D251" s="11">
        <f t="shared" si="22"/>
        <v>10.75</v>
      </c>
      <c r="E251" s="11">
        <f t="shared" si="23"/>
        <v>13.5</v>
      </c>
      <c r="F251" s="11">
        <f t="shared" si="24"/>
        <v>16.25</v>
      </c>
      <c r="G251" s="11">
        <f t="shared" si="25"/>
        <v>21.5</v>
      </c>
      <c r="H251" s="11">
        <f t="shared" si="26"/>
        <v>24.25</v>
      </c>
      <c r="I251" s="11">
        <f t="shared" si="27"/>
        <v>27</v>
      </c>
    </row>
    <row r="252" spans="1:9" x14ac:dyDescent="0.2">
      <c r="A252" s="12">
        <f>Calculator!$D$6+247</f>
        <v>46560</v>
      </c>
      <c r="B252" s="13">
        <f>A252-Calculator!$D$6</f>
        <v>247</v>
      </c>
      <c r="C252" s="14">
        <f t="shared" si="21"/>
        <v>0.67671232876712328</v>
      </c>
      <c r="D252" s="15">
        <f t="shared" si="22"/>
        <v>10.75</v>
      </c>
      <c r="E252" s="15">
        <f t="shared" si="23"/>
        <v>13.5</v>
      </c>
      <c r="F252" s="15">
        <f t="shared" si="24"/>
        <v>16.25</v>
      </c>
      <c r="G252" s="15">
        <f t="shared" si="25"/>
        <v>21.75</v>
      </c>
      <c r="H252" s="15">
        <f t="shared" si="26"/>
        <v>24.25</v>
      </c>
      <c r="I252" s="15">
        <f t="shared" si="27"/>
        <v>27</v>
      </c>
    </row>
    <row r="253" spans="1:9" x14ac:dyDescent="0.2">
      <c r="A253" s="8">
        <f>Calculator!$D$6+248</f>
        <v>46561</v>
      </c>
      <c r="B253" s="9">
        <f>A253-Calculator!$D$6</f>
        <v>248</v>
      </c>
      <c r="C253" s="10">
        <f t="shared" si="21"/>
        <v>0.67945205479452053</v>
      </c>
      <c r="D253" s="11">
        <f t="shared" si="22"/>
        <v>10.75</v>
      </c>
      <c r="E253" s="11">
        <f t="shared" si="23"/>
        <v>13.5</v>
      </c>
      <c r="F253" s="11">
        <f t="shared" si="24"/>
        <v>16.25</v>
      </c>
      <c r="G253" s="11">
        <f t="shared" si="25"/>
        <v>21.75</v>
      </c>
      <c r="H253" s="11">
        <f t="shared" si="26"/>
        <v>24.5</v>
      </c>
      <c r="I253" s="11">
        <f t="shared" si="27"/>
        <v>27.25</v>
      </c>
    </row>
    <row r="254" spans="1:9" x14ac:dyDescent="0.2">
      <c r="A254" s="12">
        <f>Calculator!$D$6+249</f>
        <v>46562</v>
      </c>
      <c r="B254" s="13">
        <f>A254-Calculator!$D$6</f>
        <v>249</v>
      </c>
      <c r="C254" s="14">
        <f t="shared" si="21"/>
        <v>0.68219178082191778</v>
      </c>
      <c r="D254" s="15">
        <f t="shared" si="22"/>
        <v>11</v>
      </c>
      <c r="E254" s="15">
        <f t="shared" si="23"/>
        <v>13.75</v>
      </c>
      <c r="F254" s="15">
        <f t="shared" si="24"/>
        <v>16.25</v>
      </c>
      <c r="G254" s="15">
        <f t="shared" si="25"/>
        <v>21.75</v>
      </c>
      <c r="H254" s="15">
        <f t="shared" si="26"/>
        <v>24.5</v>
      </c>
      <c r="I254" s="15">
        <f t="shared" si="27"/>
        <v>27.25</v>
      </c>
    </row>
    <row r="255" spans="1:9" x14ac:dyDescent="0.2">
      <c r="A255" s="8">
        <f>Calculator!$D$6+250</f>
        <v>46563</v>
      </c>
      <c r="B255" s="9">
        <f>A255-Calculator!$D$6</f>
        <v>250</v>
      </c>
      <c r="C255" s="10">
        <f t="shared" si="21"/>
        <v>0.68493150684931503</v>
      </c>
      <c r="D255" s="11">
        <f t="shared" si="22"/>
        <v>11</v>
      </c>
      <c r="E255" s="11">
        <f t="shared" si="23"/>
        <v>13.75</v>
      </c>
      <c r="F255" s="11">
        <f t="shared" si="24"/>
        <v>16.5</v>
      </c>
      <c r="G255" s="11">
        <f t="shared" si="25"/>
        <v>22</v>
      </c>
      <c r="H255" s="11">
        <f t="shared" si="26"/>
        <v>24.75</v>
      </c>
      <c r="I255" s="11">
        <f t="shared" si="27"/>
        <v>27.5</v>
      </c>
    </row>
    <row r="256" spans="1:9" x14ac:dyDescent="0.2">
      <c r="A256" s="12">
        <f>Calculator!$D$6+251</f>
        <v>46564</v>
      </c>
      <c r="B256" s="13">
        <f>A256-Calculator!$D$6</f>
        <v>251</v>
      </c>
      <c r="C256" s="14">
        <f t="shared" si="21"/>
        <v>0.68767123287671228</v>
      </c>
      <c r="D256" s="15">
        <f t="shared" si="22"/>
        <v>11</v>
      </c>
      <c r="E256" s="15">
        <f t="shared" si="23"/>
        <v>13.75</v>
      </c>
      <c r="F256" s="15">
        <f t="shared" si="24"/>
        <v>16.5</v>
      </c>
      <c r="G256" s="15">
        <f t="shared" si="25"/>
        <v>22</v>
      </c>
      <c r="H256" s="15">
        <f t="shared" si="26"/>
        <v>24.75</v>
      </c>
      <c r="I256" s="15">
        <f t="shared" si="27"/>
        <v>27.5</v>
      </c>
    </row>
    <row r="257" spans="1:9" x14ac:dyDescent="0.2">
      <c r="A257" s="8">
        <f>Calculator!$D$6+252</f>
        <v>46565</v>
      </c>
      <c r="B257" s="9">
        <f>A257-Calculator!$D$6</f>
        <v>252</v>
      </c>
      <c r="C257" s="10">
        <f t="shared" si="21"/>
        <v>0.69041095890410964</v>
      </c>
      <c r="D257" s="11">
        <f t="shared" si="22"/>
        <v>11</v>
      </c>
      <c r="E257" s="11">
        <f t="shared" si="23"/>
        <v>13.75</v>
      </c>
      <c r="F257" s="11">
        <f t="shared" si="24"/>
        <v>16.5</v>
      </c>
      <c r="G257" s="11">
        <f t="shared" si="25"/>
        <v>22</v>
      </c>
      <c r="H257" s="11">
        <f t="shared" si="26"/>
        <v>24.75</v>
      </c>
      <c r="I257" s="11">
        <f t="shared" si="27"/>
        <v>27.5</v>
      </c>
    </row>
    <row r="258" spans="1:9" x14ac:dyDescent="0.2">
      <c r="A258" s="12">
        <f>Calculator!$D$6+253</f>
        <v>46566</v>
      </c>
      <c r="B258" s="13">
        <f>A258-Calculator!$D$6</f>
        <v>253</v>
      </c>
      <c r="C258" s="14">
        <f t="shared" si="21"/>
        <v>0.69315068493150689</v>
      </c>
      <c r="D258" s="15">
        <f t="shared" si="22"/>
        <v>11</v>
      </c>
      <c r="E258" s="15">
        <f t="shared" si="23"/>
        <v>13.75</v>
      </c>
      <c r="F258" s="15">
        <f t="shared" si="24"/>
        <v>16.75</v>
      </c>
      <c r="G258" s="15">
        <f t="shared" si="25"/>
        <v>22.25</v>
      </c>
      <c r="H258" s="15">
        <f t="shared" si="26"/>
        <v>25</v>
      </c>
      <c r="I258" s="15">
        <f t="shared" si="27"/>
        <v>27.75</v>
      </c>
    </row>
    <row r="259" spans="1:9" x14ac:dyDescent="0.2">
      <c r="A259" s="8">
        <f>Calculator!$D$6+254</f>
        <v>46567</v>
      </c>
      <c r="B259" s="9">
        <f>A259-Calculator!$D$6</f>
        <v>254</v>
      </c>
      <c r="C259" s="10">
        <f t="shared" si="21"/>
        <v>0.69589041095890414</v>
      </c>
      <c r="D259" s="11">
        <f t="shared" si="22"/>
        <v>11.25</v>
      </c>
      <c r="E259" s="11">
        <f t="shared" si="23"/>
        <v>14</v>
      </c>
      <c r="F259" s="11">
        <f t="shared" si="24"/>
        <v>16.75</v>
      </c>
      <c r="G259" s="11">
        <f t="shared" si="25"/>
        <v>22.25</v>
      </c>
      <c r="H259" s="11">
        <f t="shared" si="26"/>
        <v>25</v>
      </c>
      <c r="I259" s="11">
        <f t="shared" si="27"/>
        <v>27.75</v>
      </c>
    </row>
    <row r="260" spans="1:9" x14ac:dyDescent="0.2">
      <c r="A260" s="12">
        <f>Calculator!$D$6+255</f>
        <v>46568</v>
      </c>
      <c r="B260" s="13">
        <f>A260-Calculator!$D$6</f>
        <v>255</v>
      </c>
      <c r="C260" s="14">
        <f t="shared" si="21"/>
        <v>0.69863013698630139</v>
      </c>
      <c r="D260" s="15">
        <f t="shared" si="22"/>
        <v>11.25</v>
      </c>
      <c r="E260" s="15">
        <f t="shared" si="23"/>
        <v>14</v>
      </c>
      <c r="F260" s="15">
        <f t="shared" si="24"/>
        <v>16.75</v>
      </c>
      <c r="G260" s="15">
        <f t="shared" si="25"/>
        <v>22.25</v>
      </c>
      <c r="H260" s="15">
        <f t="shared" si="26"/>
        <v>25.25</v>
      </c>
      <c r="I260" s="15">
        <f t="shared" si="27"/>
        <v>28</v>
      </c>
    </row>
    <row r="261" spans="1:9" x14ac:dyDescent="0.2">
      <c r="A261" s="8">
        <f>Calculator!$D$6+256</f>
        <v>46569</v>
      </c>
      <c r="B261" s="9">
        <f>A261-Calculator!$D$6</f>
        <v>256</v>
      </c>
      <c r="C261" s="10">
        <f t="shared" ref="C261:C324" si="28">B261/365</f>
        <v>0.70136986301369864</v>
      </c>
      <c r="D261" s="11">
        <f t="shared" ref="D261:D324" si="29">MROUND(16*$C261,0.25)</f>
        <v>11.25</v>
      </c>
      <c r="E261" s="11">
        <f t="shared" ref="E261:E324" si="30">MROUND(20*$C261,0.25)</f>
        <v>14</v>
      </c>
      <c r="F261" s="11">
        <f t="shared" ref="F261:F324" si="31">MROUND(24*$C261,0.25)</f>
        <v>16.75</v>
      </c>
      <c r="G261" s="11">
        <f t="shared" ref="G261:G324" si="32">MROUND(32*$C261,0.25)</f>
        <v>22.5</v>
      </c>
      <c r="H261" s="11">
        <f t="shared" ref="H261:H324" si="33">MROUND(36*$C261,0.25)</f>
        <v>25.25</v>
      </c>
      <c r="I261" s="11">
        <f t="shared" ref="I261:I324" si="34">MROUND(40*$C261,0.25)</f>
        <v>28</v>
      </c>
    </row>
    <row r="262" spans="1:9" x14ac:dyDescent="0.2">
      <c r="A262" s="12">
        <f>Calculator!$D$6+257</f>
        <v>46570</v>
      </c>
      <c r="B262" s="13">
        <f>A262-Calculator!$D$6</f>
        <v>257</v>
      </c>
      <c r="C262" s="14">
        <f t="shared" si="28"/>
        <v>0.70410958904109588</v>
      </c>
      <c r="D262" s="15">
        <f t="shared" si="29"/>
        <v>11.25</v>
      </c>
      <c r="E262" s="15">
        <f t="shared" si="30"/>
        <v>14</v>
      </c>
      <c r="F262" s="15">
        <f t="shared" si="31"/>
        <v>17</v>
      </c>
      <c r="G262" s="15">
        <f t="shared" si="32"/>
        <v>22.5</v>
      </c>
      <c r="H262" s="15">
        <f t="shared" si="33"/>
        <v>25.25</v>
      </c>
      <c r="I262" s="15">
        <f t="shared" si="34"/>
        <v>28.25</v>
      </c>
    </row>
    <row r="263" spans="1:9" x14ac:dyDescent="0.2">
      <c r="A263" s="8">
        <f>Calculator!$D$6+258</f>
        <v>46571</v>
      </c>
      <c r="B263" s="9">
        <f>A263-Calculator!$D$6</f>
        <v>258</v>
      </c>
      <c r="C263" s="10">
        <f t="shared" si="28"/>
        <v>0.70684931506849313</v>
      </c>
      <c r="D263" s="11">
        <f t="shared" si="29"/>
        <v>11.25</v>
      </c>
      <c r="E263" s="11">
        <f t="shared" si="30"/>
        <v>14.25</v>
      </c>
      <c r="F263" s="11">
        <f t="shared" si="31"/>
        <v>17</v>
      </c>
      <c r="G263" s="11">
        <f t="shared" si="32"/>
        <v>22.5</v>
      </c>
      <c r="H263" s="11">
        <f t="shared" si="33"/>
        <v>25.5</v>
      </c>
      <c r="I263" s="11">
        <f t="shared" si="34"/>
        <v>28.25</v>
      </c>
    </row>
    <row r="264" spans="1:9" x14ac:dyDescent="0.2">
      <c r="A264" s="12">
        <f>Calculator!$D$6+259</f>
        <v>46572</v>
      </c>
      <c r="B264" s="13">
        <f>A264-Calculator!$D$6</f>
        <v>259</v>
      </c>
      <c r="C264" s="14">
        <f t="shared" si="28"/>
        <v>0.70958904109589038</v>
      </c>
      <c r="D264" s="15">
        <f t="shared" si="29"/>
        <v>11.25</v>
      </c>
      <c r="E264" s="15">
        <f t="shared" si="30"/>
        <v>14.25</v>
      </c>
      <c r="F264" s="15">
        <f t="shared" si="31"/>
        <v>17</v>
      </c>
      <c r="G264" s="15">
        <f t="shared" si="32"/>
        <v>22.75</v>
      </c>
      <c r="H264" s="15">
        <f t="shared" si="33"/>
        <v>25.5</v>
      </c>
      <c r="I264" s="15">
        <f t="shared" si="34"/>
        <v>28.5</v>
      </c>
    </row>
    <row r="265" spans="1:9" x14ac:dyDescent="0.2">
      <c r="A265" s="8">
        <f>Calculator!$D$6+260</f>
        <v>46573</v>
      </c>
      <c r="B265" s="9">
        <f>A265-Calculator!$D$6</f>
        <v>260</v>
      </c>
      <c r="C265" s="10">
        <f t="shared" si="28"/>
        <v>0.71232876712328763</v>
      </c>
      <c r="D265" s="11">
        <f t="shared" si="29"/>
        <v>11.5</v>
      </c>
      <c r="E265" s="11">
        <f t="shared" si="30"/>
        <v>14.25</v>
      </c>
      <c r="F265" s="11">
        <f t="shared" si="31"/>
        <v>17</v>
      </c>
      <c r="G265" s="11">
        <f t="shared" si="32"/>
        <v>22.75</v>
      </c>
      <c r="H265" s="11">
        <f t="shared" si="33"/>
        <v>25.75</v>
      </c>
      <c r="I265" s="11">
        <f t="shared" si="34"/>
        <v>28.5</v>
      </c>
    </row>
    <row r="266" spans="1:9" x14ac:dyDescent="0.2">
      <c r="A266" s="12">
        <f>Calculator!$D$6+261</f>
        <v>46574</v>
      </c>
      <c r="B266" s="13">
        <f>A266-Calculator!$D$6</f>
        <v>261</v>
      </c>
      <c r="C266" s="14">
        <f t="shared" si="28"/>
        <v>0.71506849315068488</v>
      </c>
      <c r="D266" s="15">
        <f t="shared" si="29"/>
        <v>11.5</v>
      </c>
      <c r="E266" s="15">
        <f t="shared" si="30"/>
        <v>14.25</v>
      </c>
      <c r="F266" s="15">
        <f t="shared" si="31"/>
        <v>17.25</v>
      </c>
      <c r="G266" s="15">
        <f t="shared" si="32"/>
        <v>23</v>
      </c>
      <c r="H266" s="15">
        <f t="shared" si="33"/>
        <v>25.75</v>
      </c>
      <c r="I266" s="15">
        <f t="shared" si="34"/>
        <v>28.5</v>
      </c>
    </row>
    <row r="267" spans="1:9" x14ac:dyDescent="0.2">
      <c r="A267" s="8">
        <f>Calculator!$D$6+262</f>
        <v>46575</v>
      </c>
      <c r="B267" s="9">
        <f>A267-Calculator!$D$6</f>
        <v>262</v>
      </c>
      <c r="C267" s="10">
        <f t="shared" si="28"/>
        <v>0.71780821917808224</v>
      </c>
      <c r="D267" s="11">
        <f t="shared" si="29"/>
        <v>11.5</v>
      </c>
      <c r="E267" s="11">
        <f t="shared" si="30"/>
        <v>14.25</v>
      </c>
      <c r="F267" s="11">
        <f t="shared" si="31"/>
        <v>17.25</v>
      </c>
      <c r="G267" s="11">
        <f t="shared" si="32"/>
        <v>23</v>
      </c>
      <c r="H267" s="11">
        <f t="shared" si="33"/>
        <v>25.75</v>
      </c>
      <c r="I267" s="11">
        <f t="shared" si="34"/>
        <v>28.75</v>
      </c>
    </row>
    <row r="268" spans="1:9" x14ac:dyDescent="0.2">
      <c r="A268" s="12">
        <f>Calculator!$D$6+263</f>
        <v>46576</v>
      </c>
      <c r="B268" s="13">
        <f>A268-Calculator!$D$6</f>
        <v>263</v>
      </c>
      <c r="C268" s="14">
        <f t="shared" si="28"/>
        <v>0.72054794520547949</v>
      </c>
      <c r="D268" s="15">
        <f t="shared" si="29"/>
        <v>11.5</v>
      </c>
      <c r="E268" s="15">
        <f t="shared" si="30"/>
        <v>14.5</v>
      </c>
      <c r="F268" s="15">
        <f t="shared" si="31"/>
        <v>17.25</v>
      </c>
      <c r="G268" s="15">
        <f t="shared" si="32"/>
        <v>23</v>
      </c>
      <c r="H268" s="15">
        <f t="shared" si="33"/>
        <v>26</v>
      </c>
      <c r="I268" s="15">
        <f t="shared" si="34"/>
        <v>28.75</v>
      </c>
    </row>
    <row r="269" spans="1:9" x14ac:dyDescent="0.2">
      <c r="A269" s="8">
        <f>Calculator!$D$6+264</f>
        <v>46577</v>
      </c>
      <c r="B269" s="9">
        <f>A269-Calculator!$D$6</f>
        <v>264</v>
      </c>
      <c r="C269" s="10">
        <f t="shared" si="28"/>
        <v>0.72328767123287674</v>
      </c>
      <c r="D269" s="11">
        <f t="shared" si="29"/>
        <v>11.5</v>
      </c>
      <c r="E269" s="11">
        <f t="shared" si="30"/>
        <v>14.5</v>
      </c>
      <c r="F269" s="11">
        <f t="shared" si="31"/>
        <v>17.25</v>
      </c>
      <c r="G269" s="11">
        <f t="shared" si="32"/>
        <v>23.25</v>
      </c>
      <c r="H269" s="11">
        <f t="shared" si="33"/>
        <v>26</v>
      </c>
      <c r="I269" s="11">
        <f t="shared" si="34"/>
        <v>29</v>
      </c>
    </row>
    <row r="270" spans="1:9" x14ac:dyDescent="0.2">
      <c r="A270" s="12">
        <f>Calculator!$D$6+265</f>
        <v>46578</v>
      </c>
      <c r="B270" s="13">
        <f>A270-Calculator!$D$6</f>
        <v>265</v>
      </c>
      <c r="C270" s="14">
        <f t="shared" si="28"/>
        <v>0.72602739726027399</v>
      </c>
      <c r="D270" s="15">
        <f t="shared" si="29"/>
        <v>11.5</v>
      </c>
      <c r="E270" s="15">
        <f t="shared" si="30"/>
        <v>14.5</v>
      </c>
      <c r="F270" s="15">
        <f t="shared" si="31"/>
        <v>17.5</v>
      </c>
      <c r="G270" s="15">
        <f t="shared" si="32"/>
        <v>23.25</v>
      </c>
      <c r="H270" s="15">
        <f t="shared" si="33"/>
        <v>26.25</v>
      </c>
      <c r="I270" s="15">
        <f t="shared" si="34"/>
        <v>29</v>
      </c>
    </row>
    <row r="271" spans="1:9" x14ac:dyDescent="0.2">
      <c r="A271" s="8">
        <f>Calculator!$D$6+266</f>
        <v>46579</v>
      </c>
      <c r="B271" s="9">
        <f>A271-Calculator!$D$6</f>
        <v>266</v>
      </c>
      <c r="C271" s="10">
        <f t="shared" si="28"/>
        <v>0.72876712328767124</v>
      </c>
      <c r="D271" s="11">
        <f t="shared" si="29"/>
        <v>11.75</v>
      </c>
      <c r="E271" s="11">
        <f t="shared" si="30"/>
        <v>14.5</v>
      </c>
      <c r="F271" s="11">
        <f t="shared" si="31"/>
        <v>17.5</v>
      </c>
      <c r="G271" s="11">
        <f t="shared" si="32"/>
        <v>23.25</v>
      </c>
      <c r="H271" s="11">
        <f t="shared" si="33"/>
        <v>26.25</v>
      </c>
      <c r="I271" s="11">
        <f t="shared" si="34"/>
        <v>29.25</v>
      </c>
    </row>
    <row r="272" spans="1:9" x14ac:dyDescent="0.2">
      <c r="A272" s="12">
        <f>Calculator!$D$6+267</f>
        <v>46580</v>
      </c>
      <c r="B272" s="13">
        <f>A272-Calculator!$D$6</f>
        <v>267</v>
      </c>
      <c r="C272" s="14">
        <f t="shared" si="28"/>
        <v>0.73150684931506849</v>
      </c>
      <c r="D272" s="15">
        <f t="shared" si="29"/>
        <v>11.75</v>
      </c>
      <c r="E272" s="15">
        <f t="shared" si="30"/>
        <v>14.75</v>
      </c>
      <c r="F272" s="15">
        <f t="shared" si="31"/>
        <v>17.5</v>
      </c>
      <c r="G272" s="15">
        <f t="shared" si="32"/>
        <v>23.5</v>
      </c>
      <c r="H272" s="15">
        <f t="shared" si="33"/>
        <v>26.25</v>
      </c>
      <c r="I272" s="15">
        <f t="shared" si="34"/>
        <v>29.25</v>
      </c>
    </row>
    <row r="273" spans="1:9" x14ac:dyDescent="0.2">
      <c r="A273" s="8">
        <f>Calculator!$D$6+268</f>
        <v>46581</v>
      </c>
      <c r="B273" s="9">
        <f>A273-Calculator!$D$6</f>
        <v>268</v>
      </c>
      <c r="C273" s="10">
        <f t="shared" si="28"/>
        <v>0.73424657534246573</v>
      </c>
      <c r="D273" s="11">
        <f t="shared" si="29"/>
        <v>11.75</v>
      </c>
      <c r="E273" s="11">
        <f t="shared" si="30"/>
        <v>14.75</v>
      </c>
      <c r="F273" s="11">
        <f t="shared" si="31"/>
        <v>17.5</v>
      </c>
      <c r="G273" s="11">
        <f t="shared" si="32"/>
        <v>23.5</v>
      </c>
      <c r="H273" s="11">
        <f t="shared" si="33"/>
        <v>26.5</v>
      </c>
      <c r="I273" s="11">
        <f t="shared" si="34"/>
        <v>29.25</v>
      </c>
    </row>
    <row r="274" spans="1:9" x14ac:dyDescent="0.2">
      <c r="A274" s="12">
        <f>Calculator!$D$6+269</f>
        <v>46582</v>
      </c>
      <c r="B274" s="13">
        <f>A274-Calculator!$D$6</f>
        <v>269</v>
      </c>
      <c r="C274" s="14">
        <f t="shared" si="28"/>
        <v>0.73698630136986298</v>
      </c>
      <c r="D274" s="15">
        <f t="shared" si="29"/>
        <v>11.75</v>
      </c>
      <c r="E274" s="15">
        <f t="shared" si="30"/>
        <v>14.75</v>
      </c>
      <c r="F274" s="15">
        <f t="shared" si="31"/>
        <v>17.75</v>
      </c>
      <c r="G274" s="15">
        <f t="shared" si="32"/>
        <v>23.5</v>
      </c>
      <c r="H274" s="15">
        <f t="shared" si="33"/>
        <v>26.5</v>
      </c>
      <c r="I274" s="15">
        <f t="shared" si="34"/>
        <v>29.5</v>
      </c>
    </row>
    <row r="275" spans="1:9" x14ac:dyDescent="0.2">
      <c r="A275" s="8">
        <f>Calculator!$D$6+270</f>
        <v>46583</v>
      </c>
      <c r="B275" s="9">
        <f>A275-Calculator!$D$6</f>
        <v>270</v>
      </c>
      <c r="C275" s="10">
        <f t="shared" si="28"/>
        <v>0.73972602739726023</v>
      </c>
      <c r="D275" s="11">
        <f t="shared" si="29"/>
        <v>11.75</v>
      </c>
      <c r="E275" s="11">
        <f t="shared" si="30"/>
        <v>14.75</v>
      </c>
      <c r="F275" s="11">
        <f t="shared" si="31"/>
        <v>17.75</v>
      </c>
      <c r="G275" s="11">
        <f t="shared" si="32"/>
        <v>23.75</v>
      </c>
      <c r="H275" s="11">
        <f t="shared" si="33"/>
        <v>26.75</v>
      </c>
      <c r="I275" s="11">
        <f t="shared" si="34"/>
        <v>29.5</v>
      </c>
    </row>
    <row r="276" spans="1:9" x14ac:dyDescent="0.2">
      <c r="A276" s="12">
        <f>Calculator!$D$6+271</f>
        <v>46584</v>
      </c>
      <c r="B276" s="13">
        <f>A276-Calculator!$D$6</f>
        <v>271</v>
      </c>
      <c r="C276" s="14">
        <f t="shared" si="28"/>
        <v>0.74246575342465748</v>
      </c>
      <c r="D276" s="15">
        <f t="shared" si="29"/>
        <v>12</v>
      </c>
      <c r="E276" s="15">
        <f t="shared" si="30"/>
        <v>14.75</v>
      </c>
      <c r="F276" s="15">
        <f t="shared" si="31"/>
        <v>17.75</v>
      </c>
      <c r="G276" s="15">
        <f t="shared" si="32"/>
        <v>23.75</v>
      </c>
      <c r="H276" s="15">
        <f t="shared" si="33"/>
        <v>26.75</v>
      </c>
      <c r="I276" s="15">
        <f t="shared" si="34"/>
        <v>29.75</v>
      </c>
    </row>
    <row r="277" spans="1:9" x14ac:dyDescent="0.2">
      <c r="A277" s="8">
        <f>Calculator!$D$6+272</f>
        <v>46585</v>
      </c>
      <c r="B277" s="9">
        <f>A277-Calculator!$D$6</f>
        <v>272</v>
      </c>
      <c r="C277" s="10">
        <f t="shared" si="28"/>
        <v>0.74520547945205484</v>
      </c>
      <c r="D277" s="11">
        <f t="shared" si="29"/>
        <v>12</v>
      </c>
      <c r="E277" s="11">
        <f t="shared" si="30"/>
        <v>15</v>
      </c>
      <c r="F277" s="11">
        <f t="shared" si="31"/>
        <v>18</v>
      </c>
      <c r="G277" s="11">
        <f t="shared" si="32"/>
        <v>23.75</v>
      </c>
      <c r="H277" s="11">
        <f t="shared" si="33"/>
        <v>26.75</v>
      </c>
      <c r="I277" s="11">
        <f t="shared" si="34"/>
        <v>29.75</v>
      </c>
    </row>
    <row r="278" spans="1:9" x14ac:dyDescent="0.2">
      <c r="A278" s="12">
        <f>Calculator!$D$6+273</f>
        <v>46586</v>
      </c>
      <c r="B278" s="13">
        <f>A278-Calculator!$D$6</f>
        <v>273</v>
      </c>
      <c r="C278" s="14">
        <f t="shared" si="28"/>
        <v>0.74794520547945209</v>
      </c>
      <c r="D278" s="15">
        <f t="shared" si="29"/>
        <v>12</v>
      </c>
      <c r="E278" s="15">
        <f t="shared" si="30"/>
        <v>15</v>
      </c>
      <c r="F278" s="15">
        <f t="shared" si="31"/>
        <v>18</v>
      </c>
      <c r="G278" s="15">
        <f t="shared" si="32"/>
        <v>24</v>
      </c>
      <c r="H278" s="15">
        <f t="shared" si="33"/>
        <v>27</v>
      </c>
      <c r="I278" s="15">
        <f t="shared" si="34"/>
        <v>30</v>
      </c>
    </row>
    <row r="279" spans="1:9" x14ac:dyDescent="0.2">
      <c r="A279" s="8">
        <f>Calculator!$D$6+274</f>
        <v>46587</v>
      </c>
      <c r="B279" s="9">
        <f>A279-Calculator!$D$6</f>
        <v>274</v>
      </c>
      <c r="C279" s="10">
        <f t="shared" si="28"/>
        <v>0.75068493150684934</v>
      </c>
      <c r="D279" s="11">
        <f t="shared" si="29"/>
        <v>12</v>
      </c>
      <c r="E279" s="11">
        <f t="shared" si="30"/>
        <v>15</v>
      </c>
      <c r="F279" s="11">
        <f t="shared" si="31"/>
        <v>18</v>
      </c>
      <c r="G279" s="11">
        <f t="shared" si="32"/>
        <v>24</v>
      </c>
      <c r="H279" s="11">
        <f t="shared" si="33"/>
        <v>27</v>
      </c>
      <c r="I279" s="11">
        <f t="shared" si="34"/>
        <v>30</v>
      </c>
    </row>
    <row r="280" spans="1:9" x14ac:dyDescent="0.2">
      <c r="A280" s="12">
        <f>Calculator!$D$6+275</f>
        <v>46588</v>
      </c>
      <c r="B280" s="13">
        <f>A280-Calculator!$D$6</f>
        <v>275</v>
      </c>
      <c r="C280" s="14">
        <f t="shared" si="28"/>
        <v>0.75342465753424659</v>
      </c>
      <c r="D280" s="15">
        <f t="shared" si="29"/>
        <v>12</v>
      </c>
      <c r="E280" s="15">
        <f t="shared" si="30"/>
        <v>15</v>
      </c>
      <c r="F280" s="15">
        <f t="shared" si="31"/>
        <v>18</v>
      </c>
      <c r="G280" s="15">
        <f t="shared" si="32"/>
        <v>24</v>
      </c>
      <c r="H280" s="15">
        <f t="shared" si="33"/>
        <v>27</v>
      </c>
      <c r="I280" s="15">
        <f t="shared" si="34"/>
        <v>30.25</v>
      </c>
    </row>
    <row r="281" spans="1:9" x14ac:dyDescent="0.2">
      <c r="A281" s="8">
        <f>Calculator!$D$6+276</f>
        <v>46589</v>
      </c>
      <c r="B281" s="9">
        <f>A281-Calculator!$D$6</f>
        <v>276</v>
      </c>
      <c r="C281" s="10">
        <f t="shared" si="28"/>
        <v>0.75616438356164384</v>
      </c>
      <c r="D281" s="11">
        <f t="shared" si="29"/>
        <v>12</v>
      </c>
      <c r="E281" s="11">
        <f t="shared" si="30"/>
        <v>15</v>
      </c>
      <c r="F281" s="11">
        <f t="shared" si="31"/>
        <v>18.25</v>
      </c>
      <c r="G281" s="11">
        <f t="shared" si="32"/>
        <v>24.25</v>
      </c>
      <c r="H281" s="11">
        <f t="shared" si="33"/>
        <v>27.25</v>
      </c>
      <c r="I281" s="11">
        <f t="shared" si="34"/>
        <v>30.25</v>
      </c>
    </row>
    <row r="282" spans="1:9" x14ac:dyDescent="0.2">
      <c r="A282" s="12">
        <f>Calculator!$D$6+277</f>
        <v>46590</v>
      </c>
      <c r="B282" s="13">
        <f>A282-Calculator!$D$6</f>
        <v>277</v>
      </c>
      <c r="C282" s="14">
        <f t="shared" si="28"/>
        <v>0.75890410958904109</v>
      </c>
      <c r="D282" s="15">
        <f t="shared" si="29"/>
        <v>12.25</v>
      </c>
      <c r="E282" s="15">
        <f t="shared" si="30"/>
        <v>15.25</v>
      </c>
      <c r="F282" s="15">
        <f t="shared" si="31"/>
        <v>18.25</v>
      </c>
      <c r="G282" s="15">
        <f t="shared" si="32"/>
        <v>24.25</v>
      </c>
      <c r="H282" s="15">
        <f t="shared" si="33"/>
        <v>27.25</v>
      </c>
      <c r="I282" s="15">
        <f t="shared" si="34"/>
        <v>30.25</v>
      </c>
    </row>
    <row r="283" spans="1:9" x14ac:dyDescent="0.2">
      <c r="A283" s="8">
        <f>Calculator!$D$6+278</f>
        <v>46591</v>
      </c>
      <c r="B283" s="9">
        <f>A283-Calculator!$D$6</f>
        <v>278</v>
      </c>
      <c r="C283" s="10">
        <f t="shared" si="28"/>
        <v>0.76164383561643834</v>
      </c>
      <c r="D283" s="11">
        <f t="shared" si="29"/>
        <v>12.25</v>
      </c>
      <c r="E283" s="11">
        <f t="shared" si="30"/>
        <v>15.25</v>
      </c>
      <c r="F283" s="11">
        <f t="shared" si="31"/>
        <v>18.25</v>
      </c>
      <c r="G283" s="11">
        <f t="shared" si="32"/>
        <v>24.25</v>
      </c>
      <c r="H283" s="11">
        <f t="shared" si="33"/>
        <v>27.5</v>
      </c>
      <c r="I283" s="11">
        <f t="shared" si="34"/>
        <v>30.5</v>
      </c>
    </row>
    <row r="284" spans="1:9" x14ac:dyDescent="0.2">
      <c r="A284" s="12">
        <f>Calculator!$D$6+279</f>
        <v>46592</v>
      </c>
      <c r="B284" s="13">
        <f>A284-Calculator!$D$6</f>
        <v>279</v>
      </c>
      <c r="C284" s="14">
        <f t="shared" si="28"/>
        <v>0.76438356164383559</v>
      </c>
      <c r="D284" s="15">
        <f t="shared" si="29"/>
        <v>12.25</v>
      </c>
      <c r="E284" s="15">
        <f t="shared" si="30"/>
        <v>15.25</v>
      </c>
      <c r="F284" s="15">
        <f t="shared" si="31"/>
        <v>18.25</v>
      </c>
      <c r="G284" s="15">
        <f t="shared" si="32"/>
        <v>24.5</v>
      </c>
      <c r="H284" s="15">
        <f t="shared" si="33"/>
        <v>27.5</v>
      </c>
      <c r="I284" s="15">
        <f t="shared" si="34"/>
        <v>30.5</v>
      </c>
    </row>
    <row r="285" spans="1:9" x14ac:dyDescent="0.2">
      <c r="A285" s="8">
        <f>Calculator!$D$6+280</f>
        <v>46593</v>
      </c>
      <c r="B285" s="9">
        <f>A285-Calculator!$D$6</f>
        <v>280</v>
      </c>
      <c r="C285" s="10">
        <f t="shared" si="28"/>
        <v>0.76712328767123283</v>
      </c>
      <c r="D285" s="11">
        <f t="shared" si="29"/>
        <v>12.25</v>
      </c>
      <c r="E285" s="11">
        <f t="shared" si="30"/>
        <v>15.25</v>
      </c>
      <c r="F285" s="11">
        <f t="shared" si="31"/>
        <v>18.5</v>
      </c>
      <c r="G285" s="11">
        <f t="shared" si="32"/>
        <v>24.5</v>
      </c>
      <c r="H285" s="11">
        <f t="shared" si="33"/>
        <v>27.5</v>
      </c>
      <c r="I285" s="11">
        <f t="shared" si="34"/>
        <v>30.75</v>
      </c>
    </row>
    <row r="286" spans="1:9" x14ac:dyDescent="0.2">
      <c r="A286" s="12">
        <f>Calculator!$D$6+281</f>
        <v>46594</v>
      </c>
      <c r="B286" s="13">
        <f>A286-Calculator!$D$6</f>
        <v>281</v>
      </c>
      <c r="C286" s="14">
        <f t="shared" si="28"/>
        <v>0.76986301369863008</v>
      </c>
      <c r="D286" s="15">
        <f t="shared" si="29"/>
        <v>12.25</v>
      </c>
      <c r="E286" s="15">
        <f t="shared" si="30"/>
        <v>15.5</v>
      </c>
      <c r="F286" s="15">
        <f t="shared" si="31"/>
        <v>18.5</v>
      </c>
      <c r="G286" s="15">
        <f t="shared" si="32"/>
        <v>24.75</v>
      </c>
      <c r="H286" s="15">
        <f t="shared" si="33"/>
        <v>27.75</v>
      </c>
      <c r="I286" s="15">
        <f t="shared" si="34"/>
        <v>30.75</v>
      </c>
    </row>
    <row r="287" spans="1:9" x14ac:dyDescent="0.2">
      <c r="A287" s="8">
        <f>Calculator!$D$6+282</f>
        <v>46595</v>
      </c>
      <c r="B287" s="9">
        <f>A287-Calculator!$D$6</f>
        <v>282</v>
      </c>
      <c r="C287" s="10">
        <f t="shared" si="28"/>
        <v>0.77260273972602744</v>
      </c>
      <c r="D287" s="11">
        <f t="shared" si="29"/>
        <v>12.25</v>
      </c>
      <c r="E287" s="11">
        <f t="shared" si="30"/>
        <v>15.5</v>
      </c>
      <c r="F287" s="11">
        <f t="shared" si="31"/>
        <v>18.5</v>
      </c>
      <c r="G287" s="11">
        <f t="shared" si="32"/>
        <v>24.75</v>
      </c>
      <c r="H287" s="11">
        <f t="shared" si="33"/>
        <v>27.75</v>
      </c>
      <c r="I287" s="11">
        <f t="shared" si="34"/>
        <v>31</v>
      </c>
    </row>
    <row r="288" spans="1:9" x14ac:dyDescent="0.2">
      <c r="A288" s="12">
        <f>Calculator!$D$6+283</f>
        <v>46596</v>
      </c>
      <c r="B288" s="13">
        <f>A288-Calculator!$D$6</f>
        <v>283</v>
      </c>
      <c r="C288" s="14">
        <f t="shared" si="28"/>
        <v>0.77534246575342469</v>
      </c>
      <c r="D288" s="15">
        <f t="shared" si="29"/>
        <v>12.5</v>
      </c>
      <c r="E288" s="15">
        <f t="shared" si="30"/>
        <v>15.5</v>
      </c>
      <c r="F288" s="15">
        <f t="shared" si="31"/>
        <v>18.5</v>
      </c>
      <c r="G288" s="15">
        <f t="shared" si="32"/>
        <v>24.75</v>
      </c>
      <c r="H288" s="15">
        <f t="shared" si="33"/>
        <v>28</v>
      </c>
      <c r="I288" s="15">
        <f t="shared" si="34"/>
        <v>31</v>
      </c>
    </row>
    <row r="289" spans="1:9" x14ac:dyDescent="0.2">
      <c r="A289" s="8">
        <f>Calculator!$D$6+284</f>
        <v>46597</v>
      </c>
      <c r="B289" s="9">
        <f>A289-Calculator!$D$6</f>
        <v>284</v>
      </c>
      <c r="C289" s="10">
        <f t="shared" si="28"/>
        <v>0.77808219178082194</v>
      </c>
      <c r="D289" s="11">
        <f t="shared" si="29"/>
        <v>12.5</v>
      </c>
      <c r="E289" s="11">
        <f t="shared" si="30"/>
        <v>15.5</v>
      </c>
      <c r="F289" s="11">
        <f t="shared" si="31"/>
        <v>18.75</v>
      </c>
      <c r="G289" s="11">
        <f t="shared" si="32"/>
        <v>25</v>
      </c>
      <c r="H289" s="11">
        <f t="shared" si="33"/>
        <v>28</v>
      </c>
      <c r="I289" s="11">
        <f t="shared" si="34"/>
        <v>31</v>
      </c>
    </row>
    <row r="290" spans="1:9" x14ac:dyDescent="0.2">
      <c r="A290" s="12">
        <f>Calculator!$D$6+285</f>
        <v>46598</v>
      </c>
      <c r="B290" s="13">
        <f>A290-Calculator!$D$6</f>
        <v>285</v>
      </c>
      <c r="C290" s="14">
        <f t="shared" si="28"/>
        <v>0.78082191780821919</v>
      </c>
      <c r="D290" s="15">
        <f t="shared" si="29"/>
        <v>12.5</v>
      </c>
      <c r="E290" s="15">
        <f t="shared" si="30"/>
        <v>15.5</v>
      </c>
      <c r="F290" s="15">
        <f t="shared" si="31"/>
        <v>18.75</v>
      </c>
      <c r="G290" s="15">
        <f t="shared" si="32"/>
        <v>25</v>
      </c>
      <c r="H290" s="15">
        <f t="shared" si="33"/>
        <v>28</v>
      </c>
      <c r="I290" s="15">
        <f t="shared" si="34"/>
        <v>31.25</v>
      </c>
    </row>
    <row r="291" spans="1:9" x14ac:dyDescent="0.2">
      <c r="A291" s="8">
        <f>Calculator!$D$6+286</f>
        <v>46599</v>
      </c>
      <c r="B291" s="9">
        <f>A291-Calculator!$D$6</f>
        <v>286</v>
      </c>
      <c r="C291" s="10">
        <f t="shared" si="28"/>
        <v>0.78356164383561644</v>
      </c>
      <c r="D291" s="11">
        <f t="shared" si="29"/>
        <v>12.5</v>
      </c>
      <c r="E291" s="11">
        <f t="shared" si="30"/>
        <v>15.75</v>
      </c>
      <c r="F291" s="11">
        <f t="shared" si="31"/>
        <v>18.75</v>
      </c>
      <c r="G291" s="11">
        <f t="shared" si="32"/>
        <v>25</v>
      </c>
      <c r="H291" s="11">
        <f t="shared" si="33"/>
        <v>28.25</v>
      </c>
      <c r="I291" s="11">
        <f t="shared" si="34"/>
        <v>31.25</v>
      </c>
    </row>
    <row r="292" spans="1:9" x14ac:dyDescent="0.2">
      <c r="A292" s="12">
        <f>Calculator!$D$6+287</f>
        <v>46600</v>
      </c>
      <c r="B292" s="13">
        <f>A292-Calculator!$D$6</f>
        <v>287</v>
      </c>
      <c r="C292" s="14">
        <f t="shared" si="28"/>
        <v>0.78630136986301369</v>
      </c>
      <c r="D292" s="15">
        <f t="shared" si="29"/>
        <v>12.5</v>
      </c>
      <c r="E292" s="15">
        <f t="shared" si="30"/>
        <v>15.75</v>
      </c>
      <c r="F292" s="15">
        <f t="shared" si="31"/>
        <v>18.75</v>
      </c>
      <c r="G292" s="15">
        <f t="shared" si="32"/>
        <v>25.25</v>
      </c>
      <c r="H292" s="15">
        <f t="shared" si="33"/>
        <v>28.25</v>
      </c>
      <c r="I292" s="15">
        <f t="shared" si="34"/>
        <v>31.5</v>
      </c>
    </row>
    <row r="293" spans="1:9" x14ac:dyDescent="0.2">
      <c r="A293" s="8">
        <f>Calculator!$D$6+288</f>
        <v>46601</v>
      </c>
      <c r="B293" s="9">
        <f>A293-Calculator!$D$6</f>
        <v>288</v>
      </c>
      <c r="C293" s="10">
        <f t="shared" si="28"/>
        <v>0.78904109589041094</v>
      </c>
      <c r="D293" s="11">
        <f t="shared" si="29"/>
        <v>12.5</v>
      </c>
      <c r="E293" s="11">
        <f t="shared" si="30"/>
        <v>15.75</v>
      </c>
      <c r="F293" s="11">
        <f t="shared" si="31"/>
        <v>19</v>
      </c>
      <c r="G293" s="11">
        <f t="shared" si="32"/>
        <v>25.25</v>
      </c>
      <c r="H293" s="11">
        <f t="shared" si="33"/>
        <v>28.5</v>
      </c>
      <c r="I293" s="11">
        <f t="shared" si="34"/>
        <v>31.5</v>
      </c>
    </row>
    <row r="294" spans="1:9" x14ac:dyDescent="0.2">
      <c r="A294" s="12">
        <f>Calculator!$D$6+289</f>
        <v>46602</v>
      </c>
      <c r="B294" s="13">
        <f>A294-Calculator!$D$6</f>
        <v>289</v>
      </c>
      <c r="C294" s="14">
        <f t="shared" si="28"/>
        <v>0.79178082191780819</v>
      </c>
      <c r="D294" s="15">
        <f t="shared" si="29"/>
        <v>12.75</v>
      </c>
      <c r="E294" s="15">
        <f t="shared" si="30"/>
        <v>15.75</v>
      </c>
      <c r="F294" s="15">
        <f t="shared" si="31"/>
        <v>19</v>
      </c>
      <c r="G294" s="15">
        <f t="shared" si="32"/>
        <v>25.25</v>
      </c>
      <c r="H294" s="15">
        <f t="shared" si="33"/>
        <v>28.5</v>
      </c>
      <c r="I294" s="15">
        <f t="shared" si="34"/>
        <v>31.75</v>
      </c>
    </row>
    <row r="295" spans="1:9" x14ac:dyDescent="0.2">
      <c r="A295" s="8">
        <f>Calculator!$D$6+290</f>
        <v>46603</v>
      </c>
      <c r="B295" s="9">
        <f>A295-Calculator!$D$6</f>
        <v>290</v>
      </c>
      <c r="C295" s="10">
        <f t="shared" si="28"/>
        <v>0.79452054794520544</v>
      </c>
      <c r="D295" s="11">
        <f t="shared" si="29"/>
        <v>12.75</v>
      </c>
      <c r="E295" s="11">
        <f t="shared" si="30"/>
        <v>16</v>
      </c>
      <c r="F295" s="11">
        <f t="shared" si="31"/>
        <v>19</v>
      </c>
      <c r="G295" s="11">
        <f t="shared" si="32"/>
        <v>25.5</v>
      </c>
      <c r="H295" s="11">
        <f t="shared" si="33"/>
        <v>28.5</v>
      </c>
      <c r="I295" s="11">
        <f t="shared" si="34"/>
        <v>31.75</v>
      </c>
    </row>
    <row r="296" spans="1:9" x14ac:dyDescent="0.2">
      <c r="A296" s="12">
        <f>Calculator!$D$6+291</f>
        <v>46604</v>
      </c>
      <c r="B296" s="13">
        <f>A296-Calculator!$D$6</f>
        <v>291</v>
      </c>
      <c r="C296" s="14">
        <f t="shared" si="28"/>
        <v>0.79726027397260268</v>
      </c>
      <c r="D296" s="15">
        <f t="shared" si="29"/>
        <v>12.75</v>
      </c>
      <c r="E296" s="15">
        <f t="shared" si="30"/>
        <v>16</v>
      </c>
      <c r="F296" s="15">
        <f t="shared" si="31"/>
        <v>19.25</v>
      </c>
      <c r="G296" s="15">
        <f t="shared" si="32"/>
        <v>25.5</v>
      </c>
      <c r="H296" s="15">
        <f t="shared" si="33"/>
        <v>28.75</v>
      </c>
      <c r="I296" s="15">
        <f t="shared" si="34"/>
        <v>32</v>
      </c>
    </row>
    <row r="297" spans="1:9" x14ac:dyDescent="0.2">
      <c r="A297" s="8">
        <f>Calculator!$D$6+292</f>
        <v>46605</v>
      </c>
      <c r="B297" s="9">
        <f>A297-Calculator!$D$6</f>
        <v>292</v>
      </c>
      <c r="C297" s="10">
        <f t="shared" si="28"/>
        <v>0.8</v>
      </c>
      <c r="D297" s="11">
        <f t="shared" si="29"/>
        <v>12.75</v>
      </c>
      <c r="E297" s="11">
        <f t="shared" si="30"/>
        <v>16</v>
      </c>
      <c r="F297" s="11">
        <f t="shared" si="31"/>
        <v>19.25</v>
      </c>
      <c r="G297" s="11">
        <f t="shared" si="32"/>
        <v>25.5</v>
      </c>
      <c r="H297" s="11">
        <f t="shared" si="33"/>
        <v>28.75</v>
      </c>
      <c r="I297" s="11">
        <f t="shared" si="34"/>
        <v>32</v>
      </c>
    </row>
    <row r="298" spans="1:9" x14ac:dyDescent="0.2">
      <c r="A298" s="12">
        <f>Calculator!$D$6+293</f>
        <v>46606</v>
      </c>
      <c r="B298" s="13">
        <f>A298-Calculator!$D$6</f>
        <v>293</v>
      </c>
      <c r="C298" s="14">
        <f t="shared" si="28"/>
        <v>0.80273972602739729</v>
      </c>
      <c r="D298" s="15">
        <f t="shared" si="29"/>
        <v>12.75</v>
      </c>
      <c r="E298" s="15">
        <f t="shared" si="30"/>
        <v>16</v>
      </c>
      <c r="F298" s="15">
        <f t="shared" si="31"/>
        <v>19.25</v>
      </c>
      <c r="G298" s="15">
        <f t="shared" si="32"/>
        <v>25.75</v>
      </c>
      <c r="H298" s="15">
        <f t="shared" si="33"/>
        <v>29</v>
      </c>
      <c r="I298" s="15">
        <f t="shared" si="34"/>
        <v>32</v>
      </c>
    </row>
    <row r="299" spans="1:9" x14ac:dyDescent="0.2">
      <c r="A299" s="8">
        <f>Calculator!$D$6+294</f>
        <v>46607</v>
      </c>
      <c r="B299" s="9">
        <f>A299-Calculator!$D$6</f>
        <v>294</v>
      </c>
      <c r="C299" s="10">
        <f t="shared" si="28"/>
        <v>0.80547945205479454</v>
      </c>
      <c r="D299" s="11">
        <f t="shared" si="29"/>
        <v>13</v>
      </c>
      <c r="E299" s="11">
        <f t="shared" si="30"/>
        <v>16</v>
      </c>
      <c r="F299" s="11">
        <f t="shared" si="31"/>
        <v>19.25</v>
      </c>
      <c r="G299" s="11">
        <f t="shared" si="32"/>
        <v>25.75</v>
      </c>
      <c r="H299" s="11">
        <f t="shared" si="33"/>
        <v>29</v>
      </c>
      <c r="I299" s="11">
        <f t="shared" si="34"/>
        <v>32.25</v>
      </c>
    </row>
    <row r="300" spans="1:9" x14ac:dyDescent="0.2">
      <c r="A300" s="12">
        <f>Calculator!$D$6+295</f>
        <v>46608</v>
      </c>
      <c r="B300" s="13">
        <f>A300-Calculator!$D$6</f>
        <v>295</v>
      </c>
      <c r="C300" s="14">
        <f t="shared" si="28"/>
        <v>0.80821917808219179</v>
      </c>
      <c r="D300" s="15">
        <f t="shared" si="29"/>
        <v>13</v>
      </c>
      <c r="E300" s="15">
        <f t="shared" si="30"/>
        <v>16.25</v>
      </c>
      <c r="F300" s="15">
        <f t="shared" si="31"/>
        <v>19.5</v>
      </c>
      <c r="G300" s="15">
        <f t="shared" si="32"/>
        <v>25.75</v>
      </c>
      <c r="H300" s="15">
        <f t="shared" si="33"/>
        <v>29</v>
      </c>
      <c r="I300" s="15">
        <f t="shared" si="34"/>
        <v>32.25</v>
      </c>
    </row>
    <row r="301" spans="1:9" x14ac:dyDescent="0.2">
      <c r="A301" s="8">
        <f>Calculator!$D$6+296</f>
        <v>46609</v>
      </c>
      <c r="B301" s="9">
        <f>A301-Calculator!$D$6</f>
        <v>296</v>
      </c>
      <c r="C301" s="10">
        <f t="shared" si="28"/>
        <v>0.81095890410958904</v>
      </c>
      <c r="D301" s="11">
        <f t="shared" si="29"/>
        <v>13</v>
      </c>
      <c r="E301" s="11">
        <f t="shared" si="30"/>
        <v>16.25</v>
      </c>
      <c r="F301" s="11">
        <f t="shared" si="31"/>
        <v>19.5</v>
      </c>
      <c r="G301" s="11">
        <f t="shared" si="32"/>
        <v>26</v>
      </c>
      <c r="H301" s="11">
        <f t="shared" si="33"/>
        <v>29.25</v>
      </c>
      <c r="I301" s="11">
        <f t="shared" si="34"/>
        <v>32.5</v>
      </c>
    </row>
    <row r="302" spans="1:9" x14ac:dyDescent="0.2">
      <c r="A302" s="12">
        <f>Calculator!$D$6+297</f>
        <v>46610</v>
      </c>
      <c r="B302" s="13">
        <f>A302-Calculator!$D$6</f>
        <v>297</v>
      </c>
      <c r="C302" s="14">
        <f t="shared" si="28"/>
        <v>0.81369863013698629</v>
      </c>
      <c r="D302" s="15">
        <f t="shared" si="29"/>
        <v>13</v>
      </c>
      <c r="E302" s="15">
        <f t="shared" si="30"/>
        <v>16.25</v>
      </c>
      <c r="F302" s="15">
        <f t="shared" si="31"/>
        <v>19.5</v>
      </c>
      <c r="G302" s="15">
        <f t="shared" si="32"/>
        <v>26</v>
      </c>
      <c r="H302" s="15">
        <f t="shared" si="33"/>
        <v>29.25</v>
      </c>
      <c r="I302" s="15">
        <f t="shared" si="34"/>
        <v>32.5</v>
      </c>
    </row>
    <row r="303" spans="1:9" x14ac:dyDescent="0.2">
      <c r="A303" s="8">
        <f>Calculator!$D$6+298</f>
        <v>46611</v>
      </c>
      <c r="B303" s="9">
        <f>A303-Calculator!$D$6</f>
        <v>298</v>
      </c>
      <c r="C303" s="10">
        <f t="shared" si="28"/>
        <v>0.81643835616438354</v>
      </c>
      <c r="D303" s="11">
        <f t="shared" si="29"/>
        <v>13</v>
      </c>
      <c r="E303" s="11">
        <f t="shared" si="30"/>
        <v>16.25</v>
      </c>
      <c r="F303" s="11">
        <f t="shared" si="31"/>
        <v>19.5</v>
      </c>
      <c r="G303" s="11">
        <f t="shared" si="32"/>
        <v>26.25</v>
      </c>
      <c r="H303" s="11">
        <f t="shared" si="33"/>
        <v>29.5</v>
      </c>
      <c r="I303" s="11">
        <f t="shared" si="34"/>
        <v>32.75</v>
      </c>
    </row>
    <row r="304" spans="1:9" x14ac:dyDescent="0.2">
      <c r="A304" s="12">
        <f>Calculator!$D$6+299</f>
        <v>46612</v>
      </c>
      <c r="B304" s="13">
        <f>A304-Calculator!$D$6</f>
        <v>299</v>
      </c>
      <c r="C304" s="14">
        <f t="shared" si="28"/>
        <v>0.81917808219178079</v>
      </c>
      <c r="D304" s="15">
        <f t="shared" si="29"/>
        <v>13</v>
      </c>
      <c r="E304" s="15">
        <f t="shared" si="30"/>
        <v>16.5</v>
      </c>
      <c r="F304" s="15">
        <f t="shared" si="31"/>
        <v>19.75</v>
      </c>
      <c r="G304" s="15">
        <f t="shared" si="32"/>
        <v>26.25</v>
      </c>
      <c r="H304" s="15">
        <f t="shared" si="33"/>
        <v>29.5</v>
      </c>
      <c r="I304" s="15">
        <f t="shared" si="34"/>
        <v>32.75</v>
      </c>
    </row>
    <row r="305" spans="1:9" x14ac:dyDescent="0.2">
      <c r="A305" s="8">
        <f>Calculator!$D$6+300</f>
        <v>46613</v>
      </c>
      <c r="B305" s="9">
        <f>A305-Calculator!$D$6</f>
        <v>300</v>
      </c>
      <c r="C305" s="10">
        <f t="shared" si="28"/>
        <v>0.82191780821917804</v>
      </c>
      <c r="D305" s="11">
        <f t="shared" si="29"/>
        <v>13.25</v>
      </c>
      <c r="E305" s="11">
        <f t="shared" si="30"/>
        <v>16.5</v>
      </c>
      <c r="F305" s="11">
        <f t="shared" si="31"/>
        <v>19.75</v>
      </c>
      <c r="G305" s="11">
        <f t="shared" si="32"/>
        <v>26.25</v>
      </c>
      <c r="H305" s="11">
        <f t="shared" si="33"/>
        <v>29.5</v>
      </c>
      <c r="I305" s="11">
        <f t="shared" si="34"/>
        <v>33</v>
      </c>
    </row>
    <row r="306" spans="1:9" x14ac:dyDescent="0.2">
      <c r="A306" s="12">
        <f>Calculator!$D$6+301</f>
        <v>46614</v>
      </c>
      <c r="B306" s="13">
        <f>A306-Calculator!$D$6</f>
        <v>301</v>
      </c>
      <c r="C306" s="14">
        <f t="shared" si="28"/>
        <v>0.8246575342465754</v>
      </c>
      <c r="D306" s="15">
        <f t="shared" si="29"/>
        <v>13.25</v>
      </c>
      <c r="E306" s="15">
        <f t="shared" si="30"/>
        <v>16.5</v>
      </c>
      <c r="F306" s="15">
        <f t="shared" si="31"/>
        <v>19.75</v>
      </c>
      <c r="G306" s="15">
        <f t="shared" si="32"/>
        <v>26.5</v>
      </c>
      <c r="H306" s="15">
        <f t="shared" si="33"/>
        <v>29.75</v>
      </c>
      <c r="I306" s="15">
        <f t="shared" si="34"/>
        <v>33</v>
      </c>
    </row>
    <row r="307" spans="1:9" x14ac:dyDescent="0.2">
      <c r="A307" s="8">
        <f>Calculator!$D$6+302</f>
        <v>46615</v>
      </c>
      <c r="B307" s="9">
        <f>A307-Calculator!$D$6</f>
        <v>302</v>
      </c>
      <c r="C307" s="10">
        <f t="shared" si="28"/>
        <v>0.82739726027397265</v>
      </c>
      <c r="D307" s="11">
        <f t="shared" si="29"/>
        <v>13.25</v>
      </c>
      <c r="E307" s="11">
        <f t="shared" si="30"/>
        <v>16.5</v>
      </c>
      <c r="F307" s="11">
        <f t="shared" si="31"/>
        <v>19.75</v>
      </c>
      <c r="G307" s="11">
        <f t="shared" si="32"/>
        <v>26.5</v>
      </c>
      <c r="H307" s="11">
        <f t="shared" si="33"/>
        <v>29.75</v>
      </c>
      <c r="I307" s="11">
        <f t="shared" si="34"/>
        <v>33</v>
      </c>
    </row>
    <row r="308" spans="1:9" x14ac:dyDescent="0.2">
      <c r="A308" s="12">
        <f>Calculator!$D$6+303</f>
        <v>46616</v>
      </c>
      <c r="B308" s="13">
        <f>A308-Calculator!$D$6</f>
        <v>303</v>
      </c>
      <c r="C308" s="14">
        <f t="shared" si="28"/>
        <v>0.83013698630136989</v>
      </c>
      <c r="D308" s="15">
        <f t="shared" si="29"/>
        <v>13.25</v>
      </c>
      <c r="E308" s="15">
        <f t="shared" si="30"/>
        <v>16.5</v>
      </c>
      <c r="F308" s="15">
        <f t="shared" si="31"/>
        <v>20</v>
      </c>
      <c r="G308" s="15">
        <f t="shared" si="32"/>
        <v>26.5</v>
      </c>
      <c r="H308" s="15">
        <f t="shared" si="33"/>
        <v>30</v>
      </c>
      <c r="I308" s="15">
        <f t="shared" si="34"/>
        <v>33.25</v>
      </c>
    </row>
    <row r="309" spans="1:9" x14ac:dyDescent="0.2">
      <c r="A309" s="8">
        <f>Calculator!$D$6+304</f>
        <v>46617</v>
      </c>
      <c r="B309" s="9">
        <f>A309-Calculator!$D$6</f>
        <v>304</v>
      </c>
      <c r="C309" s="10">
        <f t="shared" si="28"/>
        <v>0.83287671232876714</v>
      </c>
      <c r="D309" s="11">
        <f t="shared" si="29"/>
        <v>13.25</v>
      </c>
      <c r="E309" s="11">
        <f t="shared" si="30"/>
        <v>16.75</v>
      </c>
      <c r="F309" s="11">
        <f t="shared" si="31"/>
        <v>20</v>
      </c>
      <c r="G309" s="11">
        <f t="shared" si="32"/>
        <v>26.75</v>
      </c>
      <c r="H309" s="11">
        <f t="shared" si="33"/>
        <v>30</v>
      </c>
      <c r="I309" s="11">
        <f t="shared" si="34"/>
        <v>33.25</v>
      </c>
    </row>
    <row r="310" spans="1:9" x14ac:dyDescent="0.2">
      <c r="A310" s="12">
        <f>Calculator!$D$6+305</f>
        <v>46618</v>
      </c>
      <c r="B310" s="13">
        <f>A310-Calculator!$D$6</f>
        <v>305</v>
      </c>
      <c r="C310" s="14">
        <f t="shared" si="28"/>
        <v>0.83561643835616439</v>
      </c>
      <c r="D310" s="15">
        <f t="shared" si="29"/>
        <v>13.25</v>
      </c>
      <c r="E310" s="15">
        <f t="shared" si="30"/>
        <v>16.75</v>
      </c>
      <c r="F310" s="15">
        <f t="shared" si="31"/>
        <v>20</v>
      </c>
      <c r="G310" s="15">
        <f t="shared" si="32"/>
        <v>26.75</v>
      </c>
      <c r="H310" s="15">
        <f t="shared" si="33"/>
        <v>30</v>
      </c>
      <c r="I310" s="15">
        <f t="shared" si="34"/>
        <v>33.5</v>
      </c>
    </row>
    <row r="311" spans="1:9" x14ac:dyDescent="0.2">
      <c r="A311" s="8">
        <f>Calculator!$D$6+306</f>
        <v>46619</v>
      </c>
      <c r="B311" s="9">
        <f>A311-Calculator!$D$6</f>
        <v>306</v>
      </c>
      <c r="C311" s="10">
        <f t="shared" si="28"/>
        <v>0.83835616438356164</v>
      </c>
      <c r="D311" s="11">
        <f t="shared" si="29"/>
        <v>13.5</v>
      </c>
      <c r="E311" s="11">
        <f t="shared" si="30"/>
        <v>16.75</v>
      </c>
      <c r="F311" s="11">
        <f t="shared" si="31"/>
        <v>20</v>
      </c>
      <c r="G311" s="11">
        <f t="shared" si="32"/>
        <v>26.75</v>
      </c>
      <c r="H311" s="11">
        <f t="shared" si="33"/>
        <v>30.25</v>
      </c>
      <c r="I311" s="11">
        <f t="shared" si="34"/>
        <v>33.5</v>
      </c>
    </row>
    <row r="312" spans="1:9" x14ac:dyDescent="0.2">
      <c r="A312" s="12">
        <f>Calculator!$D$6+307</f>
        <v>46620</v>
      </c>
      <c r="B312" s="13">
        <f>A312-Calculator!$D$6</f>
        <v>307</v>
      </c>
      <c r="C312" s="14">
        <f t="shared" si="28"/>
        <v>0.84109589041095889</v>
      </c>
      <c r="D312" s="15">
        <f t="shared" si="29"/>
        <v>13.5</v>
      </c>
      <c r="E312" s="15">
        <f t="shared" si="30"/>
        <v>16.75</v>
      </c>
      <c r="F312" s="15">
        <f t="shared" si="31"/>
        <v>20.25</v>
      </c>
      <c r="G312" s="15">
        <f t="shared" si="32"/>
        <v>27</v>
      </c>
      <c r="H312" s="15">
        <f t="shared" si="33"/>
        <v>30.25</v>
      </c>
      <c r="I312" s="15">
        <f t="shared" si="34"/>
        <v>33.75</v>
      </c>
    </row>
    <row r="313" spans="1:9" x14ac:dyDescent="0.2">
      <c r="A313" s="8">
        <f>Calculator!$D$6+308</f>
        <v>46621</v>
      </c>
      <c r="B313" s="9">
        <f>A313-Calculator!$D$6</f>
        <v>308</v>
      </c>
      <c r="C313" s="10">
        <f t="shared" si="28"/>
        <v>0.84383561643835614</v>
      </c>
      <c r="D313" s="11">
        <f t="shared" si="29"/>
        <v>13.5</v>
      </c>
      <c r="E313" s="11">
        <f t="shared" si="30"/>
        <v>17</v>
      </c>
      <c r="F313" s="11">
        <f t="shared" si="31"/>
        <v>20.25</v>
      </c>
      <c r="G313" s="11">
        <f t="shared" si="32"/>
        <v>27</v>
      </c>
      <c r="H313" s="11">
        <f t="shared" si="33"/>
        <v>30.5</v>
      </c>
      <c r="I313" s="11">
        <f t="shared" si="34"/>
        <v>33.75</v>
      </c>
    </row>
    <row r="314" spans="1:9" x14ac:dyDescent="0.2">
      <c r="A314" s="12">
        <f>Calculator!$D$6+309</f>
        <v>46622</v>
      </c>
      <c r="B314" s="13">
        <f>A314-Calculator!$D$6</f>
        <v>309</v>
      </c>
      <c r="C314" s="14">
        <f t="shared" si="28"/>
        <v>0.84657534246575339</v>
      </c>
      <c r="D314" s="15">
        <f t="shared" si="29"/>
        <v>13.5</v>
      </c>
      <c r="E314" s="15">
        <f t="shared" si="30"/>
        <v>17</v>
      </c>
      <c r="F314" s="15">
        <f t="shared" si="31"/>
        <v>20.25</v>
      </c>
      <c r="G314" s="15">
        <f t="shared" si="32"/>
        <v>27</v>
      </c>
      <c r="H314" s="15">
        <f t="shared" si="33"/>
        <v>30.5</v>
      </c>
      <c r="I314" s="15">
        <f t="shared" si="34"/>
        <v>33.75</v>
      </c>
    </row>
    <row r="315" spans="1:9" x14ac:dyDescent="0.2">
      <c r="A315" s="8">
        <f>Calculator!$D$6+310</f>
        <v>46623</v>
      </c>
      <c r="B315" s="9">
        <f>A315-Calculator!$D$6</f>
        <v>310</v>
      </c>
      <c r="C315" s="10">
        <f t="shared" si="28"/>
        <v>0.84931506849315064</v>
      </c>
      <c r="D315" s="11">
        <f t="shared" si="29"/>
        <v>13.5</v>
      </c>
      <c r="E315" s="11">
        <f t="shared" si="30"/>
        <v>17</v>
      </c>
      <c r="F315" s="11">
        <f t="shared" si="31"/>
        <v>20.5</v>
      </c>
      <c r="G315" s="11">
        <f t="shared" si="32"/>
        <v>27.25</v>
      </c>
      <c r="H315" s="11">
        <f t="shared" si="33"/>
        <v>30.5</v>
      </c>
      <c r="I315" s="11">
        <f t="shared" si="34"/>
        <v>34</v>
      </c>
    </row>
    <row r="316" spans="1:9" x14ac:dyDescent="0.2">
      <c r="A316" s="12">
        <f>Calculator!$D$6+311</f>
        <v>46624</v>
      </c>
      <c r="B316" s="13">
        <f>A316-Calculator!$D$6</f>
        <v>311</v>
      </c>
      <c r="C316" s="14">
        <f t="shared" si="28"/>
        <v>0.852054794520548</v>
      </c>
      <c r="D316" s="15">
        <f t="shared" si="29"/>
        <v>13.75</v>
      </c>
      <c r="E316" s="15">
        <f t="shared" si="30"/>
        <v>17</v>
      </c>
      <c r="F316" s="15">
        <f t="shared" si="31"/>
        <v>20.5</v>
      </c>
      <c r="G316" s="15">
        <f t="shared" si="32"/>
        <v>27.25</v>
      </c>
      <c r="H316" s="15">
        <f t="shared" si="33"/>
        <v>30.75</v>
      </c>
      <c r="I316" s="15">
        <f t="shared" si="34"/>
        <v>34</v>
      </c>
    </row>
    <row r="317" spans="1:9" x14ac:dyDescent="0.2">
      <c r="A317" s="8">
        <f>Calculator!$D$6+312</f>
        <v>46625</v>
      </c>
      <c r="B317" s="9">
        <f>A317-Calculator!$D$6</f>
        <v>312</v>
      </c>
      <c r="C317" s="10">
        <f t="shared" si="28"/>
        <v>0.85479452054794525</v>
      </c>
      <c r="D317" s="11">
        <f t="shared" si="29"/>
        <v>13.75</v>
      </c>
      <c r="E317" s="11">
        <f t="shared" si="30"/>
        <v>17</v>
      </c>
      <c r="F317" s="11">
        <f t="shared" si="31"/>
        <v>20.5</v>
      </c>
      <c r="G317" s="11">
        <f t="shared" si="32"/>
        <v>27.25</v>
      </c>
      <c r="H317" s="11">
        <f t="shared" si="33"/>
        <v>30.75</v>
      </c>
      <c r="I317" s="11">
        <f t="shared" si="34"/>
        <v>34.25</v>
      </c>
    </row>
    <row r="318" spans="1:9" x14ac:dyDescent="0.2">
      <c r="A318" s="12">
        <f>Calculator!$D$6+313</f>
        <v>46626</v>
      </c>
      <c r="B318" s="13">
        <f>A318-Calculator!$D$6</f>
        <v>313</v>
      </c>
      <c r="C318" s="14">
        <f t="shared" si="28"/>
        <v>0.8575342465753425</v>
      </c>
      <c r="D318" s="15">
        <f t="shared" si="29"/>
        <v>13.75</v>
      </c>
      <c r="E318" s="15">
        <f t="shared" si="30"/>
        <v>17.25</v>
      </c>
      <c r="F318" s="15">
        <f t="shared" si="31"/>
        <v>20.5</v>
      </c>
      <c r="G318" s="15">
        <f t="shared" si="32"/>
        <v>27.5</v>
      </c>
      <c r="H318" s="15">
        <f t="shared" si="33"/>
        <v>30.75</v>
      </c>
      <c r="I318" s="15">
        <f t="shared" si="34"/>
        <v>34.25</v>
      </c>
    </row>
    <row r="319" spans="1:9" x14ac:dyDescent="0.2">
      <c r="A319" s="8">
        <f>Calculator!$D$6+314</f>
        <v>46627</v>
      </c>
      <c r="B319" s="9">
        <f>A319-Calculator!$D$6</f>
        <v>314</v>
      </c>
      <c r="C319" s="10">
        <f t="shared" si="28"/>
        <v>0.86027397260273974</v>
      </c>
      <c r="D319" s="11">
        <f t="shared" si="29"/>
        <v>13.75</v>
      </c>
      <c r="E319" s="11">
        <f t="shared" si="30"/>
        <v>17.25</v>
      </c>
      <c r="F319" s="11">
        <f t="shared" si="31"/>
        <v>20.75</v>
      </c>
      <c r="G319" s="11">
        <f t="shared" si="32"/>
        <v>27.5</v>
      </c>
      <c r="H319" s="11">
        <f t="shared" si="33"/>
        <v>31</v>
      </c>
      <c r="I319" s="11">
        <f t="shared" si="34"/>
        <v>34.5</v>
      </c>
    </row>
    <row r="320" spans="1:9" x14ac:dyDescent="0.2">
      <c r="A320" s="12">
        <f>Calculator!$D$6+315</f>
        <v>46628</v>
      </c>
      <c r="B320" s="13">
        <f>A320-Calculator!$D$6</f>
        <v>315</v>
      </c>
      <c r="C320" s="14">
        <f t="shared" si="28"/>
        <v>0.86301369863013699</v>
      </c>
      <c r="D320" s="15">
        <f t="shared" si="29"/>
        <v>13.75</v>
      </c>
      <c r="E320" s="15">
        <f t="shared" si="30"/>
        <v>17.25</v>
      </c>
      <c r="F320" s="15">
        <f t="shared" si="31"/>
        <v>20.75</v>
      </c>
      <c r="G320" s="15">
        <f t="shared" si="32"/>
        <v>27.5</v>
      </c>
      <c r="H320" s="15">
        <f t="shared" si="33"/>
        <v>31</v>
      </c>
      <c r="I320" s="15">
        <f t="shared" si="34"/>
        <v>34.5</v>
      </c>
    </row>
    <row r="321" spans="1:9" x14ac:dyDescent="0.2">
      <c r="A321" s="8">
        <f>Calculator!$D$6+316</f>
        <v>46629</v>
      </c>
      <c r="B321" s="9">
        <f>A321-Calculator!$D$6</f>
        <v>316</v>
      </c>
      <c r="C321" s="10">
        <f t="shared" si="28"/>
        <v>0.86575342465753424</v>
      </c>
      <c r="D321" s="11">
        <f t="shared" si="29"/>
        <v>13.75</v>
      </c>
      <c r="E321" s="11">
        <f t="shared" si="30"/>
        <v>17.25</v>
      </c>
      <c r="F321" s="11">
        <f t="shared" si="31"/>
        <v>20.75</v>
      </c>
      <c r="G321" s="11">
        <f t="shared" si="32"/>
        <v>27.75</v>
      </c>
      <c r="H321" s="11">
        <f t="shared" si="33"/>
        <v>31.25</v>
      </c>
      <c r="I321" s="11">
        <f t="shared" si="34"/>
        <v>34.75</v>
      </c>
    </row>
    <row r="322" spans="1:9" x14ac:dyDescent="0.2">
      <c r="A322" s="12">
        <f>Calculator!$D$6+317</f>
        <v>46630</v>
      </c>
      <c r="B322" s="13">
        <f>A322-Calculator!$D$6</f>
        <v>317</v>
      </c>
      <c r="C322" s="14">
        <f t="shared" si="28"/>
        <v>0.86849315068493149</v>
      </c>
      <c r="D322" s="15">
        <f t="shared" si="29"/>
        <v>14</v>
      </c>
      <c r="E322" s="15">
        <f t="shared" si="30"/>
        <v>17.25</v>
      </c>
      <c r="F322" s="15">
        <f t="shared" si="31"/>
        <v>20.75</v>
      </c>
      <c r="G322" s="15">
        <f t="shared" si="32"/>
        <v>27.75</v>
      </c>
      <c r="H322" s="15">
        <f t="shared" si="33"/>
        <v>31.25</v>
      </c>
      <c r="I322" s="15">
        <f t="shared" si="34"/>
        <v>34.75</v>
      </c>
    </row>
    <row r="323" spans="1:9" x14ac:dyDescent="0.2">
      <c r="A323" s="8">
        <f>Calculator!$D$6+318</f>
        <v>46631</v>
      </c>
      <c r="B323" s="9">
        <f>A323-Calculator!$D$6</f>
        <v>318</v>
      </c>
      <c r="C323" s="10">
        <f t="shared" si="28"/>
        <v>0.87123287671232874</v>
      </c>
      <c r="D323" s="11">
        <f t="shared" si="29"/>
        <v>14</v>
      </c>
      <c r="E323" s="11">
        <f t="shared" si="30"/>
        <v>17.5</v>
      </c>
      <c r="F323" s="11">
        <f t="shared" si="31"/>
        <v>21</v>
      </c>
      <c r="G323" s="11">
        <f t="shared" si="32"/>
        <v>28</v>
      </c>
      <c r="H323" s="11">
        <f t="shared" si="33"/>
        <v>31.25</v>
      </c>
      <c r="I323" s="11">
        <f t="shared" si="34"/>
        <v>34.75</v>
      </c>
    </row>
    <row r="324" spans="1:9" x14ac:dyDescent="0.2">
      <c r="A324" s="12">
        <f>Calculator!$D$6+319</f>
        <v>46632</v>
      </c>
      <c r="B324" s="13">
        <f>A324-Calculator!$D$6</f>
        <v>319</v>
      </c>
      <c r="C324" s="14">
        <f t="shared" si="28"/>
        <v>0.87397260273972599</v>
      </c>
      <c r="D324" s="15">
        <f t="shared" si="29"/>
        <v>14</v>
      </c>
      <c r="E324" s="15">
        <f t="shared" si="30"/>
        <v>17.5</v>
      </c>
      <c r="F324" s="15">
        <f t="shared" si="31"/>
        <v>21</v>
      </c>
      <c r="G324" s="15">
        <f t="shared" si="32"/>
        <v>28</v>
      </c>
      <c r="H324" s="15">
        <f t="shared" si="33"/>
        <v>31.5</v>
      </c>
      <c r="I324" s="15">
        <f t="shared" si="34"/>
        <v>35</v>
      </c>
    </row>
    <row r="325" spans="1:9" x14ac:dyDescent="0.2">
      <c r="A325" s="8">
        <f>Calculator!$D$6+320</f>
        <v>46633</v>
      </c>
      <c r="B325" s="9">
        <f>A325-Calculator!$D$6</f>
        <v>320</v>
      </c>
      <c r="C325" s="10">
        <f t="shared" ref="C325:C369" si="35">B325/365</f>
        <v>0.87671232876712324</v>
      </c>
      <c r="D325" s="11">
        <f t="shared" ref="D325:D369" si="36">MROUND(16*$C325,0.25)</f>
        <v>14</v>
      </c>
      <c r="E325" s="11">
        <f t="shared" ref="E325:E369" si="37">MROUND(20*$C325,0.25)</f>
        <v>17.5</v>
      </c>
      <c r="F325" s="11">
        <f t="shared" ref="F325:F369" si="38">MROUND(24*$C325,0.25)</f>
        <v>21</v>
      </c>
      <c r="G325" s="11">
        <f t="shared" ref="G325:G369" si="39">MROUND(32*$C325,0.25)</f>
        <v>28</v>
      </c>
      <c r="H325" s="11">
        <f t="shared" ref="H325:H369" si="40">MROUND(36*$C325,0.25)</f>
        <v>31.5</v>
      </c>
      <c r="I325" s="11">
        <f t="shared" ref="I325:I369" si="41">MROUND(40*$C325,0.25)</f>
        <v>35</v>
      </c>
    </row>
    <row r="326" spans="1:9" x14ac:dyDescent="0.2">
      <c r="A326" s="12">
        <f>Calculator!$D$6+321</f>
        <v>46634</v>
      </c>
      <c r="B326" s="13">
        <f>A326-Calculator!$D$6</f>
        <v>321</v>
      </c>
      <c r="C326" s="14">
        <f t="shared" si="35"/>
        <v>0.8794520547945206</v>
      </c>
      <c r="D326" s="15">
        <f t="shared" si="36"/>
        <v>14</v>
      </c>
      <c r="E326" s="15">
        <f t="shared" si="37"/>
        <v>17.5</v>
      </c>
      <c r="F326" s="15">
        <f t="shared" si="38"/>
        <v>21</v>
      </c>
      <c r="G326" s="15">
        <f t="shared" si="39"/>
        <v>28.25</v>
      </c>
      <c r="H326" s="15">
        <f t="shared" si="40"/>
        <v>31.75</v>
      </c>
      <c r="I326" s="15">
        <f t="shared" si="41"/>
        <v>35.25</v>
      </c>
    </row>
    <row r="327" spans="1:9" x14ac:dyDescent="0.2">
      <c r="A327" s="8">
        <f>Calculator!$D$6+322</f>
        <v>46635</v>
      </c>
      <c r="B327" s="9">
        <f>A327-Calculator!$D$6</f>
        <v>322</v>
      </c>
      <c r="C327" s="10">
        <f t="shared" si="35"/>
        <v>0.88219178082191785</v>
      </c>
      <c r="D327" s="11">
        <f t="shared" si="36"/>
        <v>14</v>
      </c>
      <c r="E327" s="11">
        <f t="shared" si="37"/>
        <v>17.75</v>
      </c>
      <c r="F327" s="11">
        <f t="shared" si="38"/>
        <v>21.25</v>
      </c>
      <c r="G327" s="11">
        <f t="shared" si="39"/>
        <v>28.25</v>
      </c>
      <c r="H327" s="11">
        <f t="shared" si="40"/>
        <v>31.75</v>
      </c>
      <c r="I327" s="11">
        <f t="shared" si="41"/>
        <v>35.25</v>
      </c>
    </row>
    <row r="328" spans="1:9" x14ac:dyDescent="0.2">
      <c r="A328" s="12">
        <f>Calculator!$D$6+323</f>
        <v>46636</v>
      </c>
      <c r="B328" s="13">
        <f>A328-Calculator!$D$6</f>
        <v>323</v>
      </c>
      <c r="C328" s="14">
        <f t="shared" si="35"/>
        <v>0.8849315068493151</v>
      </c>
      <c r="D328" s="15">
        <f t="shared" si="36"/>
        <v>14.25</v>
      </c>
      <c r="E328" s="15">
        <f t="shared" si="37"/>
        <v>17.75</v>
      </c>
      <c r="F328" s="15">
        <f t="shared" si="38"/>
        <v>21.25</v>
      </c>
      <c r="G328" s="15">
        <f t="shared" si="39"/>
        <v>28.25</v>
      </c>
      <c r="H328" s="15">
        <f t="shared" si="40"/>
        <v>31.75</v>
      </c>
      <c r="I328" s="15">
        <f t="shared" si="41"/>
        <v>35.5</v>
      </c>
    </row>
    <row r="329" spans="1:9" x14ac:dyDescent="0.2">
      <c r="A329" s="8">
        <f>Calculator!$D$6+324</f>
        <v>46637</v>
      </c>
      <c r="B329" s="9">
        <f>A329-Calculator!$D$6</f>
        <v>324</v>
      </c>
      <c r="C329" s="10">
        <f t="shared" si="35"/>
        <v>0.88767123287671235</v>
      </c>
      <c r="D329" s="11">
        <f t="shared" si="36"/>
        <v>14.25</v>
      </c>
      <c r="E329" s="11">
        <f t="shared" si="37"/>
        <v>17.75</v>
      </c>
      <c r="F329" s="11">
        <f t="shared" si="38"/>
        <v>21.25</v>
      </c>
      <c r="G329" s="11">
        <f t="shared" si="39"/>
        <v>28.5</v>
      </c>
      <c r="H329" s="11">
        <f t="shared" si="40"/>
        <v>32</v>
      </c>
      <c r="I329" s="11">
        <f t="shared" si="41"/>
        <v>35.5</v>
      </c>
    </row>
    <row r="330" spans="1:9" x14ac:dyDescent="0.2">
      <c r="A330" s="12">
        <f>Calculator!$D$6+325</f>
        <v>46638</v>
      </c>
      <c r="B330" s="13">
        <f>A330-Calculator!$D$6</f>
        <v>325</v>
      </c>
      <c r="C330" s="14">
        <f t="shared" si="35"/>
        <v>0.8904109589041096</v>
      </c>
      <c r="D330" s="15">
        <f t="shared" si="36"/>
        <v>14.25</v>
      </c>
      <c r="E330" s="15">
        <f t="shared" si="37"/>
        <v>17.75</v>
      </c>
      <c r="F330" s="15">
        <f t="shared" si="38"/>
        <v>21.25</v>
      </c>
      <c r="G330" s="15">
        <f t="shared" si="39"/>
        <v>28.5</v>
      </c>
      <c r="H330" s="15">
        <f t="shared" si="40"/>
        <v>32</v>
      </c>
      <c r="I330" s="15">
        <f t="shared" si="41"/>
        <v>35.5</v>
      </c>
    </row>
    <row r="331" spans="1:9" x14ac:dyDescent="0.2">
      <c r="A331" s="8">
        <f>Calculator!$D$6+326</f>
        <v>46639</v>
      </c>
      <c r="B331" s="9">
        <f>A331-Calculator!$D$6</f>
        <v>326</v>
      </c>
      <c r="C331" s="10">
        <f t="shared" si="35"/>
        <v>0.89315068493150684</v>
      </c>
      <c r="D331" s="11">
        <f t="shared" si="36"/>
        <v>14.25</v>
      </c>
      <c r="E331" s="11">
        <f t="shared" si="37"/>
        <v>17.75</v>
      </c>
      <c r="F331" s="11">
        <f t="shared" si="38"/>
        <v>21.5</v>
      </c>
      <c r="G331" s="11">
        <f t="shared" si="39"/>
        <v>28.5</v>
      </c>
      <c r="H331" s="11">
        <f t="shared" si="40"/>
        <v>32.25</v>
      </c>
      <c r="I331" s="11">
        <f t="shared" si="41"/>
        <v>35.75</v>
      </c>
    </row>
    <row r="332" spans="1:9" x14ac:dyDescent="0.2">
      <c r="A332" s="12">
        <f>Calculator!$D$6+327</f>
        <v>46640</v>
      </c>
      <c r="B332" s="13">
        <f>A332-Calculator!$D$6</f>
        <v>327</v>
      </c>
      <c r="C332" s="14">
        <f t="shared" si="35"/>
        <v>0.89589041095890409</v>
      </c>
      <c r="D332" s="15">
        <f t="shared" si="36"/>
        <v>14.25</v>
      </c>
      <c r="E332" s="15">
        <f t="shared" si="37"/>
        <v>18</v>
      </c>
      <c r="F332" s="15">
        <f t="shared" si="38"/>
        <v>21.5</v>
      </c>
      <c r="G332" s="15">
        <f t="shared" si="39"/>
        <v>28.75</v>
      </c>
      <c r="H332" s="15">
        <f t="shared" si="40"/>
        <v>32.25</v>
      </c>
      <c r="I332" s="15">
        <f t="shared" si="41"/>
        <v>35.75</v>
      </c>
    </row>
    <row r="333" spans="1:9" x14ac:dyDescent="0.2">
      <c r="A333" s="8">
        <f>Calculator!$D$6+328</f>
        <v>46641</v>
      </c>
      <c r="B333" s="9">
        <f>A333-Calculator!$D$6</f>
        <v>328</v>
      </c>
      <c r="C333" s="10">
        <f t="shared" si="35"/>
        <v>0.89863013698630134</v>
      </c>
      <c r="D333" s="11">
        <f t="shared" si="36"/>
        <v>14.5</v>
      </c>
      <c r="E333" s="11">
        <f t="shared" si="37"/>
        <v>18</v>
      </c>
      <c r="F333" s="11">
        <f t="shared" si="38"/>
        <v>21.5</v>
      </c>
      <c r="G333" s="11">
        <f t="shared" si="39"/>
        <v>28.75</v>
      </c>
      <c r="H333" s="11">
        <f t="shared" si="40"/>
        <v>32.25</v>
      </c>
      <c r="I333" s="11">
        <f t="shared" si="41"/>
        <v>36</v>
      </c>
    </row>
    <row r="334" spans="1:9" x14ac:dyDescent="0.2">
      <c r="A334" s="12">
        <f>Calculator!$D$6+329</f>
        <v>46642</v>
      </c>
      <c r="B334" s="13">
        <f>A334-Calculator!$D$6</f>
        <v>329</v>
      </c>
      <c r="C334" s="14">
        <f t="shared" si="35"/>
        <v>0.90136986301369859</v>
      </c>
      <c r="D334" s="15">
        <f t="shared" si="36"/>
        <v>14.5</v>
      </c>
      <c r="E334" s="15">
        <f t="shared" si="37"/>
        <v>18</v>
      </c>
      <c r="F334" s="15">
        <f t="shared" si="38"/>
        <v>21.75</v>
      </c>
      <c r="G334" s="15">
        <f t="shared" si="39"/>
        <v>28.75</v>
      </c>
      <c r="H334" s="15">
        <f t="shared" si="40"/>
        <v>32.5</v>
      </c>
      <c r="I334" s="15">
        <f t="shared" si="41"/>
        <v>36</v>
      </c>
    </row>
    <row r="335" spans="1:9" x14ac:dyDescent="0.2">
      <c r="A335" s="8">
        <f>Calculator!$D$6+330</f>
        <v>46643</v>
      </c>
      <c r="B335" s="9">
        <f>A335-Calculator!$D$6</f>
        <v>330</v>
      </c>
      <c r="C335" s="10">
        <f t="shared" si="35"/>
        <v>0.90410958904109584</v>
      </c>
      <c r="D335" s="11">
        <f t="shared" si="36"/>
        <v>14.5</v>
      </c>
      <c r="E335" s="11">
        <f t="shared" si="37"/>
        <v>18</v>
      </c>
      <c r="F335" s="11">
        <f t="shared" si="38"/>
        <v>21.75</v>
      </c>
      <c r="G335" s="11">
        <f t="shared" si="39"/>
        <v>29</v>
      </c>
      <c r="H335" s="11">
        <f t="shared" si="40"/>
        <v>32.5</v>
      </c>
      <c r="I335" s="11">
        <f t="shared" si="41"/>
        <v>36.25</v>
      </c>
    </row>
    <row r="336" spans="1:9" x14ac:dyDescent="0.2">
      <c r="A336" s="12">
        <f>Calculator!$D$6+331</f>
        <v>46644</v>
      </c>
      <c r="B336" s="13">
        <f>A336-Calculator!$D$6</f>
        <v>331</v>
      </c>
      <c r="C336" s="14">
        <f t="shared" si="35"/>
        <v>0.9068493150684932</v>
      </c>
      <c r="D336" s="15">
        <f t="shared" si="36"/>
        <v>14.5</v>
      </c>
      <c r="E336" s="15">
        <f t="shared" si="37"/>
        <v>18.25</v>
      </c>
      <c r="F336" s="15">
        <f t="shared" si="38"/>
        <v>21.75</v>
      </c>
      <c r="G336" s="15">
        <f t="shared" si="39"/>
        <v>29</v>
      </c>
      <c r="H336" s="15">
        <f t="shared" si="40"/>
        <v>32.75</v>
      </c>
      <c r="I336" s="15">
        <f t="shared" si="41"/>
        <v>36.25</v>
      </c>
    </row>
    <row r="337" spans="1:9" x14ac:dyDescent="0.2">
      <c r="A337" s="8">
        <f>Calculator!$D$6+332</f>
        <v>46645</v>
      </c>
      <c r="B337" s="9">
        <f>A337-Calculator!$D$6</f>
        <v>332</v>
      </c>
      <c r="C337" s="10">
        <f t="shared" si="35"/>
        <v>0.90958904109589045</v>
      </c>
      <c r="D337" s="11">
        <f t="shared" si="36"/>
        <v>14.5</v>
      </c>
      <c r="E337" s="11">
        <f t="shared" si="37"/>
        <v>18.25</v>
      </c>
      <c r="F337" s="11">
        <f t="shared" si="38"/>
        <v>21.75</v>
      </c>
      <c r="G337" s="11">
        <f t="shared" si="39"/>
        <v>29</v>
      </c>
      <c r="H337" s="11">
        <f t="shared" si="40"/>
        <v>32.75</v>
      </c>
      <c r="I337" s="11">
        <f t="shared" si="41"/>
        <v>36.5</v>
      </c>
    </row>
    <row r="338" spans="1:9" x14ac:dyDescent="0.2">
      <c r="A338" s="12">
        <f>Calculator!$D$6+333</f>
        <v>46646</v>
      </c>
      <c r="B338" s="13">
        <f>A338-Calculator!$D$6</f>
        <v>333</v>
      </c>
      <c r="C338" s="14">
        <f t="shared" si="35"/>
        <v>0.9123287671232877</v>
      </c>
      <c r="D338" s="15">
        <f t="shared" si="36"/>
        <v>14.5</v>
      </c>
      <c r="E338" s="15">
        <f t="shared" si="37"/>
        <v>18.25</v>
      </c>
      <c r="F338" s="15">
        <f t="shared" si="38"/>
        <v>22</v>
      </c>
      <c r="G338" s="15">
        <f t="shared" si="39"/>
        <v>29.25</v>
      </c>
      <c r="H338" s="15">
        <f t="shared" si="40"/>
        <v>32.75</v>
      </c>
      <c r="I338" s="15">
        <f t="shared" si="41"/>
        <v>36.5</v>
      </c>
    </row>
    <row r="339" spans="1:9" x14ac:dyDescent="0.2">
      <c r="A339" s="8">
        <f>Calculator!$D$6+334</f>
        <v>46647</v>
      </c>
      <c r="B339" s="9">
        <f>A339-Calculator!$D$6</f>
        <v>334</v>
      </c>
      <c r="C339" s="10">
        <f t="shared" si="35"/>
        <v>0.91506849315068495</v>
      </c>
      <c r="D339" s="11">
        <f t="shared" si="36"/>
        <v>14.75</v>
      </c>
      <c r="E339" s="11">
        <f t="shared" si="37"/>
        <v>18.25</v>
      </c>
      <c r="F339" s="11">
        <f t="shared" si="38"/>
        <v>22</v>
      </c>
      <c r="G339" s="11">
        <f t="shared" si="39"/>
        <v>29.25</v>
      </c>
      <c r="H339" s="11">
        <f t="shared" si="40"/>
        <v>33</v>
      </c>
      <c r="I339" s="11">
        <f t="shared" si="41"/>
        <v>36.5</v>
      </c>
    </row>
    <row r="340" spans="1:9" x14ac:dyDescent="0.2">
      <c r="A340" s="12">
        <f>Calculator!$D$6+335</f>
        <v>46648</v>
      </c>
      <c r="B340" s="13">
        <f>A340-Calculator!$D$6</f>
        <v>335</v>
      </c>
      <c r="C340" s="14">
        <f t="shared" si="35"/>
        <v>0.9178082191780822</v>
      </c>
      <c r="D340" s="15">
        <f t="shared" si="36"/>
        <v>14.75</v>
      </c>
      <c r="E340" s="15">
        <f t="shared" si="37"/>
        <v>18.25</v>
      </c>
      <c r="F340" s="15">
        <f t="shared" si="38"/>
        <v>22</v>
      </c>
      <c r="G340" s="15">
        <f t="shared" si="39"/>
        <v>29.25</v>
      </c>
      <c r="H340" s="15">
        <f t="shared" si="40"/>
        <v>33</v>
      </c>
      <c r="I340" s="15">
        <f t="shared" si="41"/>
        <v>36.75</v>
      </c>
    </row>
    <row r="341" spans="1:9" x14ac:dyDescent="0.2">
      <c r="A341" s="8">
        <f>Calculator!$D$6+336</f>
        <v>46649</v>
      </c>
      <c r="B341" s="9">
        <f>A341-Calculator!$D$6</f>
        <v>336</v>
      </c>
      <c r="C341" s="10">
        <f t="shared" si="35"/>
        <v>0.92054794520547945</v>
      </c>
      <c r="D341" s="11">
        <f t="shared" si="36"/>
        <v>14.75</v>
      </c>
      <c r="E341" s="11">
        <f t="shared" si="37"/>
        <v>18.5</v>
      </c>
      <c r="F341" s="11">
        <f t="shared" si="38"/>
        <v>22</v>
      </c>
      <c r="G341" s="11">
        <f t="shared" si="39"/>
        <v>29.5</v>
      </c>
      <c r="H341" s="11">
        <f t="shared" si="40"/>
        <v>33.25</v>
      </c>
      <c r="I341" s="11">
        <f t="shared" si="41"/>
        <v>36.75</v>
      </c>
    </row>
    <row r="342" spans="1:9" x14ac:dyDescent="0.2">
      <c r="A342" s="12">
        <f>Calculator!$D$6+337</f>
        <v>46650</v>
      </c>
      <c r="B342" s="13">
        <f>A342-Calculator!$D$6</f>
        <v>337</v>
      </c>
      <c r="C342" s="14">
        <f t="shared" si="35"/>
        <v>0.92328767123287669</v>
      </c>
      <c r="D342" s="15">
        <f t="shared" si="36"/>
        <v>14.75</v>
      </c>
      <c r="E342" s="15">
        <f t="shared" si="37"/>
        <v>18.5</v>
      </c>
      <c r="F342" s="15">
        <f t="shared" si="38"/>
        <v>22.25</v>
      </c>
      <c r="G342" s="15">
        <f t="shared" si="39"/>
        <v>29.5</v>
      </c>
      <c r="H342" s="15">
        <f t="shared" si="40"/>
        <v>33.25</v>
      </c>
      <c r="I342" s="15">
        <f t="shared" si="41"/>
        <v>37</v>
      </c>
    </row>
    <row r="343" spans="1:9" x14ac:dyDescent="0.2">
      <c r="A343" s="8">
        <f>Calculator!$D$6+338</f>
        <v>46651</v>
      </c>
      <c r="B343" s="9">
        <f>A343-Calculator!$D$6</f>
        <v>338</v>
      </c>
      <c r="C343" s="10">
        <f t="shared" si="35"/>
        <v>0.92602739726027394</v>
      </c>
      <c r="D343" s="11">
        <f t="shared" si="36"/>
        <v>14.75</v>
      </c>
      <c r="E343" s="11">
        <f t="shared" si="37"/>
        <v>18.5</v>
      </c>
      <c r="F343" s="11">
        <f t="shared" si="38"/>
        <v>22.25</v>
      </c>
      <c r="G343" s="11">
        <f t="shared" si="39"/>
        <v>29.75</v>
      </c>
      <c r="H343" s="11">
        <f t="shared" si="40"/>
        <v>33.25</v>
      </c>
      <c r="I343" s="11">
        <f t="shared" si="41"/>
        <v>37</v>
      </c>
    </row>
    <row r="344" spans="1:9" x14ac:dyDescent="0.2">
      <c r="A344" s="12">
        <f>Calculator!$D$6+339</f>
        <v>46652</v>
      </c>
      <c r="B344" s="13">
        <f>A344-Calculator!$D$6</f>
        <v>339</v>
      </c>
      <c r="C344" s="14">
        <f t="shared" si="35"/>
        <v>0.92876712328767119</v>
      </c>
      <c r="D344" s="15">
        <f t="shared" si="36"/>
        <v>14.75</v>
      </c>
      <c r="E344" s="15">
        <f t="shared" si="37"/>
        <v>18.5</v>
      </c>
      <c r="F344" s="15">
        <f t="shared" si="38"/>
        <v>22.25</v>
      </c>
      <c r="G344" s="15">
        <f t="shared" si="39"/>
        <v>29.75</v>
      </c>
      <c r="H344" s="15">
        <f t="shared" si="40"/>
        <v>33.5</v>
      </c>
      <c r="I344" s="15">
        <f t="shared" si="41"/>
        <v>37.25</v>
      </c>
    </row>
    <row r="345" spans="1:9" x14ac:dyDescent="0.2">
      <c r="A345" s="8">
        <f>Calculator!$D$6+340</f>
        <v>46653</v>
      </c>
      <c r="B345" s="9">
        <f>A345-Calculator!$D$6</f>
        <v>340</v>
      </c>
      <c r="C345" s="10">
        <f t="shared" si="35"/>
        <v>0.93150684931506844</v>
      </c>
      <c r="D345" s="11">
        <f t="shared" si="36"/>
        <v>15</v>
      </c>
      <c r="E345" s="11">
        <f t="shared" si="37"/>
        <v>18.75</v>
      </c>
      <c r="F345" s="11">
        <f t="shared" si="38"/>
        <v>22.25</v>
      </c>
      <c r="G345" s="11">
        <f t="shared" si="39"/>
        <v>29.75</v>
      </c>
      <c r="H345" s="11">
        <f t="shared" si="40"/>
        <v>33.5</v>
      </c>
      <c r="I345" s="11">
        <f t="shared" si="41"/>
        <v>37.25</v>
      </c>
    </row>
    <row r="346" spans="1:9" x14ac:dyDescent="0.2">
      <c r="A346" s="12">
        <f>Calculator!$D$6+341</f>
        <v>46654</v>
      </c>
      <c r="B346" s="13">
        <f>A346-Calculator!$D$6</f>
        <v>341</v>
      </c>
      <c r="C346" s="14">
        <f t="shared" si="35"/>
        <v>0.9342465753424658</v>
      </c>
      <c r="D346" s="15">
        <f t="shared" si="36"/>
        <v>15</v>
      </c>
      <c r="E346" s="15">
        <f t="shared" si="37"/>
        <v>18.75</v>
      </c>
      <c r="F346" s="15">
        <f t="shared" si="38"/>
        <v>22.5</v>
      </c>
      <c r="G346" s="15">
        <f t="shared" si="39"/>
        <v>30</v>
      </c>
      <c r="H346" s="15">
        <f t="shared" si="40"/>
        <v>33.75</v>
      </c>
      <c r="I346" s="15">
        <f t="shared" si="41"/>
        <v>37.25</v>
      </c>
    </row>
    <row r="347" spans="1:9" x14ac:dyDescent="0.2">
      <c r="A347" s="8">
        <f>Calculator!$D$6+342</f>
        <v>46655</v>
      </c>
      <c r="B347" s="9">
        <f>A347-Calculator!$D$6</f>
        <v>342</v>
      </c>
      <c r="C347" s="10">
        <f t="shared" si="35"/>
        <v>0.93698630136986305</v>
      </c>
      <c r="D347" s="11">
        <f t="shared" si="36"/>
        <v>15</v>
      </c>
      <c r="E347" s="11">
        <f t="shared" si="37"/>
        <v>18.75</v>
      </c>
      <c r="F347" s="11">
        <f t="shared" si="38"/>
        <v>22.5</v>
      </c>
      <c r="G347" s="11">
        <f t="shared" si="39"/>
        <v>30</v>
      </c>
      <c r="H347" s="11">
        <f t="shared" si="40"/>
        <v>33.75</v>
      </c>
      <c r="I347" s="11">
        <f t="shared" si="41"/>
        <v>37.5</v>
      </c>
    </row>
    <row r="348" spans="1:9" x14ac:dyDescent="0.2">
      <c r="A348" s="12">
        <f>Calculator!$D$6+343</f>
        <v>46656</v>
      </c>
      <c r="B348" s="13">
        <f>A348-Calculator!$D$6</f>
        <v>343</v>
      </c>
      <c r="C348" s="14">
        <f t="shared" si="35"/>
        <v>0.9397260273972603</v>
      </c>
      <c r="D348" s="15">
        <f t="shared" si="36"/>
        <v>15</v>
      </c>
      <c r="E348" s="15">
        <f t="shared" si="37"/>
        <v>18.75</v>
      </c>
      <c r="F348" s="15">
        <f t="shared" si="38"/>
        <v>22.5</v>
      </c>
      <c r="G348" s="15">
        <f t="shared" si="39"/>
        <v>30</v>
      </c>
      <c r="H348" s="15">
        <f t="shared" si="40"/>
        <v>33.75</v>
      </c>
      <c r="I348" s="15">
        <f t="shared" si="41"/>
        <v>37.5</v>
      </c>
    </row>
    <row r="349" spans="1:9" x14ac:dyDescent="0.2">
      <c r="A349" s="8">
        <f>Calculator!$D$6+344</f>
        <v>46657</v>
      </c>
      <c r="B349" s="9">
        <f>A349-Calculator!$D$6</f>
        <v>344</v>
      </c>
      <c r="C349" s="10">
        <f t="shared" si="35"/>
        <v>0.94246575342465755</v>
      </c>
      <c r="D349" s="11">
        <f t="shared" si="36"/>
        <v>15</v>
      </c>
      <c r="E349" s="11">
        <f t="shared" si="37"/>
        <v>18.75</v>
      </c>
      <c r="F349" s="11">
        <f t="shared" si="38"/>
        <v>22.5</v>
      </c>
      <c r="G349" s="11">
        <f t="shared" si="39"/>
        <v>30.25</v>
      </c>
      <c r="H349" s="11">
        <f t="shared" si="40"/>
        <v>34</v>
      </c>
      <c r="I349" s="11">
        <f t="shared" si="41"/>
        <v>37.75</v>
      </c>
    </row>
    <row r="350" spans="1:9" x14ac:dyDescent="0.2">
      <c r="A350" s="12">
        <f>Calculator!$D$6+345</f>
        <v>46658</v>
      </c>
      <c r="B350" s="13">
        <f>A350-Calculator!$D$6</f>
        <v>345</v>
      </c>
      <c r="C350" s="14">
        <f t="shared" si="35"/>
        <v>0.9452054794520548</v>
      </c>
      <c r="D350" s="15">
        <f t="shared" si="36"/>
        <v>15</v>
      </c>
      <c r="E350" s="15">
        <f t="shared" si="37"/>
        <v>19</v>
      </c>
      <c r="F350" s="15">
        <f t="shared" si="38"/>
        <v>22.75</v>
      </c>
      <c r="G350" s="15">
        <f t="shared" si="39"/>
        <v>30.25</v>
      </c>
      <c r="H350" s="15">
        <f t="shared" si="40"/>
        <v>34</v>
      </c>
      <c r="I350" s="15">
        <f t="shared" si="41"/>
        <v>37.75</v>
      </c>
    </row>
    <row r="351" spans="1:9" x14ac:dyDescent="0.2">
      <c r="A351" s="8">
        <f>Calculator!$D$6+346</f>
        <v>46659</v>
      </c>
      <c r="B351" s="9">
        <f>A351-Calculator!$D$6</f>
        <v>346</v>
      </c>
      <c r="C351" s="10">
        <f t="shared" si="35"/>
        <v>0.94794520547945205</v>
      </c>
      <c r="D351" s="11">
        <f t="shared" si="36"/>
        <v>15.25</v>
      </c>
      <c r="E351" s="11">
        <f t="shared" si="37"/>
        <v>19</v>
      </c>
      <c r="F351" s="11">
        <f t="shared" si="38"/>
        <v>22.75</v>
      </c>
      <c r="G351" s="11">
        <f t="shared" si="39"/>
        <v>30.25</v>
      </c>
      <c r="H351" s="11">
        <f t="shared" si="40"/>
        <v>34.25</v>
      </c>
      <c r="I351" s="11">
        <f t="shared" si="41"/>
        <v>38</v>
      </c>
    </row>
    <row r="352" spans="1:9" x14ac:dyDescent="0.2">
      <c r="A352" s="12">
        <f>Calculator!$D$6+347</f>
        <v>46660</v>
      </c>
      <c r="B352" s="13">
        <f>A352-Calculator!$D$6</f>
        <v>347</v>
      </c>
      <c r="C352" s="14">
        <f t="shared" si="35"/>
        <v>0.9506849315068493</v>
      </c>
      <c r="D352" s="15">
        <f t="shared" si="36"/>
        <v>15.25</v>
      </c>
      <c r="E352" s="15">
        <f t="shared" si="37"/>
        <v>19</v>
      </c>
      <c r="F352" s="15">
        <f t="shared" si="38"/>
        <v>22.75</v>
      </c>
      <c r="G352" s="15">
        <f t="shared" si="39"/>
        <v>30.5</v>
      </c>
      <c r="H352" s="15">
        <f t="shared" si="40"/>
        <v>34.25</v>
      </c>
      <c r="I352" s="15">
        <f t="shared" si="41"/>
        <v>38</v>
      </c>
    </row>
    <row r="353" spans="1:9" x14ac:dyDescent="0.2">
      <c r="A353" s="8">
        <f>Calculator!$D$6+348</f>
        <v>46661</v>
      </c>
      <c r="B353" s="9">
        <f>A353-Calculator!$D$6</f>
        <v>348</v>
      </c>
      <c r="C353" s="10">
        <f t="shared" si="35"/>
        <v>0.95342465753424654</v>
      </c>
      <c r="D353" s="11">
        <f t="shared" si="36"/>
        <v>15.25</v>
      </c>
      <c r="E353" s="11">
        <f t="shared" si="37"/>
        <v>19</v>
      </c>
      <c r="F353" s="11">
        <f t="shared" si="38"/>
        <v>23</v>
      </c>
      <c r="G353" s="11">
        <f t="shared" si="39"/>
        <v>30.5</v>
      </c>
      <c r="H353" s="11">
        <f t="shared" si="40"/>
        <v>34.25</v>
      </c>
      <c r="I353" s="11">
        <f t="shared" si="41"/>
        <v>38.25</v>
      </c>
    </row>
    <row r="354" spans="1:9" x14ac:dyDescent="0.2">
      <c r="A354" s="12">
        <f>Calculator!$D$6+349</f>
        <v>46662</v>
      </c>
      <c r="B354" s="13">
        <f>A354-Calculator!$D$6</f>
        <v>349</v>
      </c>
      <c r="C354" s="14">
        <f t="shared" si="35"/>
        <v>0.95616438356164379</v>
      </c>
      <c r="D354" s="15">
        <f t="shared" si="36"/>
        <v>15.25</v>
      </c>
      <c r="E354" s="15">
        <f t="shared" si="37"/>
        <v>19</v>
      </c>
      <c r="F354" s="15">
        <f t="shared" si="38"/>
        <v>23</v>
      </c>
      <c r="G354" s="15">
        <f t="shared" si="39"/>
        <v>30.5</v>
      </c>
      <c r="H354" s="15">
        <f t="shared" si="40"/>
        <v>34.5</v>
      </c>
      <c r="I354" s="15">
        <f t="shared" si="41"/>
        <v>38.25</v>
      </c>
    </row>
    <row r="355" spans="1:9" x14ac:dyDescent="0.2">
      <c r="A355" s="8">
        <f>Calculator!$D$6+350</f>
        <v>46663</v>
      </c>
      <c r="B355" s="9">
        <f>A355-Calculator!$D$6</f>
        <v>350</v>
      </c>
      <c r="C355" s="10">
        <f t="shared" si="35"/>
        <v>0.95890410958904104</v>
      </c>
      <c r="D355" s="11">
        <f t="shared" si="36"/>
        <v>15.25</v>
      </c>
      <c r="E355" s="11">
        <f t="shared" si="37"/>
        <v>19.25</v>
      </c>
      <c r="F355" s="11">
        <f t="shared" si="38"/>
        <v>23</v>
      </c>
      <c r="G355" s="11">
        <f t="shared" si="39"/>
        <v>30.75</v>
      </c>
      <c r="H355" s="11">
        <f t="shared" si="40"/>
        <v>34.5</v>
      </c>
      <c r="I355" s="11">
        <f t="shared" si="41"/>
        <v>38.25</v>
      </c>
    </row>
    <row r="356" spans="1:9" x14ac:dyDescent="0.2">
      <c r="A356" s="12">
        <f>Calculator!$D$6+351</f>
        <v>46664</v>
      </c>
      <c r="B356" s="13">
        <f>A356-Calculator!$D$6</f>
        <v>351</v>
      </c>
      <c r="C356" s="14">
        <f t="shared" si="35"/>
        <v>0.9616438356164384</v>
      </c>
      <c r="D356" s="15">
        <f t="shared" si="36"/>
        <v>15.5</v>
      </c>
      <c r="E356" s="15">
        <f t="shared" si="37"/>
        <v>19.25</v>
      </c>
      <c r="F356" s="15">
        <f t="shared" si="38"/>
        <v>23</v>
      </c>
      <c r="G356" s="15">
        <f t="shared" si="39"/>
        <v>30.75</v>
      </c>
      <c r="H356" s="15">
        <f t="shared" si="40"/>
        <v>34.5</v>
      </c>
      <c r="I356" s="15">
        <f t="shared" si="41"/>
        <v>38.5</v>
      </c>
    </row>
    <row r="357" spans="1:9" x14ac:dyDescent="0.2">
      <c r="A357" s="8">
        <f>Calculator!$D$6+352</f>
        <v>46665</v>
      </c>
      <c r="B357" s="9">
        <f>A357-Calculator!$D$6</f>
        <v>352</v>
      </c>
      <c r="C357" s="10">
        <f t="shared" si="35"/>
        <v>0.96438356164383565</v>
      </c>
      <c r="D357" s="11">
        <f t="shared" si="36"/>
        <v>15.5</v>
      </c>
      <c r="E357" s="11">
        <f t="shared" si="37"/>
        <v>19.25</v>
      </c>
      <c r="F357" s="11">
        <f t="shared" si="38"/>
        <v>23.25</v>
      </c>
      <c r="G357" s="11">
        <f t="shared" si="39"/>
        <v>30.75</v>
      </c>
      <c r="H357" s="11">
        <f t="shared" si="40"/>
        <v>34.75</v>
      </c>
      <c r="I357" s="11">
        <f t="shared" si="41"/>
        <v>38.5</v>
      </c>
    </row>
    <row r="358" spans="1:9" x14ac:dyDescent="0.2">
      <c r="A358" s="12">
        <f>Calculator!$D$6+353</f>
        <v>46666</v>
      </c>
      <c r="B358" s="13">
        <f>A358-Calculator!$D$6</f>
        <v>353</v>
      </c>
      <c r="C358" s="14">
        <f t="shared" si="35"/>
        <v>0.9671232876712329</v>
      </c>
      <c r="D358" s="15">
        <f t="shared" si="36"/>
        <v>15.5</v>
      </c>
      <c r="E358" s="15">
        <f t="shared" si="37"/>
        <v>19.25</v>
      </c>
      <c r="F358" s="15">
        <f t="shared" si="38"/>
        <v>23.25</v>
      </c>
      <c r="G358" s="15">
        <f t="shared" si="39"/>
        <v>31</v>
      </c>
      <c r="H358" s="15">
        <f t="shared" si="40"/>
        <v>34.75</v>
      </c>
      <c r="I358" s="15">
        <f t="shared" si="41"/>
        <v>38.75</v>
      </c>
    </row>
    <row r="359" spans="1:9" x14ac:dyDescent="0.2">
      <c r="A359" s="8">
        <f>Calculator!$D$6+354</f>
        <v>46667</v>
      </c>
      <c r="B359" s="9">
        <f>A359-Calculator!$D$6</f>
        <v>354</v>
      </c>
      <c r="C359" s="10">
        <f t="shared" si="35"/>
        <v>0.96986301369863015</v>
      </c>
      <c r="D359" s="11">
        <f t="shared" si="36"/>
        <v>15.5</v>
      </c>
      <c r="E359" s="11">
        <f t="shared" si="37"/>
        <v>19.5</v>
      </c>
      <c r="F359" s="11">
        <f t="shared" si="38"/>
        <v>23.25</v>
      </c>
      <c r="G359" s="11">
        <f t="shared" si="39"/>
        <v>31</v>
      </c>
      <c r="H359" s="11">
        <f t="shared" si="40"/>
        <v>35</v>
      </c>
      <c r="I359" s="11">
        <f t="shared" si="41"/>
        <v>38.75</v>
      </c>
    </row>
    <row r="360" spans="1:9" x14ac:dyDescent="0.2">
      <c r="A360" s="12">
        <f>Calculator!$D$6+355</f>
        <v>46668</v>
      </c>
      <c r="B360" s="13">
        <f>A360-Calculator!$D$6</f>
        <v>355</v>
      </c>
      <c r="C360" s="14">
        <f t="shared" si="35"/>
        <v>0.9726027397260274</v>
      </c>
      <c r="D360" s="15">
        <f t="shared" si="36"/>
        <v>15.5</v>
      </c>
      <c r="E360" s="15">
        <f t="shared" si="37"/>
        <v>19.5</v>
      </c>
      <c r="F360" s="15">
        <f t="shared" si="38"/>
        <v>23.25</v>
      </c>
      <c r="G360" s="15">
        <f t="shared" si="39"/>
        <v>31</v>
      </c>
      <c r="H360" s="15">
        <f t="shared" si="40"/>
        <v>35</v>
      </c>
      <c r="I360" s="15">
        <f t="shared" si="41"/>
        <v>39</v>
      </c>
    </row>
    <row r="361" spans="1:9" x14ac:dyDescent="0.2">
      <c r="A361" s="8">
        <f>Calculator!$D$6+356</f>
        <v>46669</v>
      </c>
      <c r="B361" s="9">
        <f>A361-Calculator!$D$6</f>
        <v>356</v>
      </c>
      <c r="C361" s="10">
        <f t="shared" si="35"/>
        <v>0.97534246575342465</v>
      </c>
      <c r="D361" s="11">
        <f t="shared" si="36"/>
        <v>15.5</v>
      </c>
      <c r="E361" s="11">
        <f t="shared" si="37"/>
        <v>19.5</v>
      </c>
      <c r="F361" s="11">
        <f t="shared" si="38"/>
        <v>23.5</v>
      </c>
      <c r="G361" s="11">
        <f t="shared" si="39"/>
        <v>31.25</v>
      </c>
      <c r="H361" s="11">
        <f t="shared" si="40"/>
        <v>35</v>
      </c>
      <c r="I361" s="11">
        <f t="shared" si="41"/>
        <v>39</v>
      </c>
    </row>
    <row r="362" spans="1:9" x14ac:dyDescent="0.2">
      <c r="A362" s="12">
        <f>Calculator!$D$6+357</f>
        <v>46670</v>
      </c>
      <c r="B362" s="13">
        <f>A362-Calculator!$D$6</f>
        <v>357</v>
      </c>
      <c r="C362" s="14">
        <f t="shared" si="35"/>
        <v>0.9780821917808219</v>
      </c>
      <c r="D362" s="15">
        <f t="shared" si="36"/>
        <v>15.75</v>
      </c>
      <c r="E362" s="15">
        <f t="shared" si="37"/>
        <v>19.5</v>
      </c>
      <c r="F362" s="15">
        <f t="shared" si="38"/>
        <v>23.5</v>
      </c>
      <c r="G362" s="15">
        <f t="shared" si="39"/>
        <v>31.25</v>
      </c>
      <c r="H362" s="15">
        <f t="shared" si="40"/>
        <v>35.25</v>
      </c>
      <c r="I362" s="15">
        <f t="shared" si="41"/>
        <v>39</v>
      </c>
    </row>
    <row r="363" spans="1:9" x14ac:dyDescent="0.2">
      <c r="A363" s="8">
        <f>Calculator!$D$6+358</f>
        <v>46671</v>
      </c>
      <c r="B363" s="9">
        <f>A363-Calculator!$D$6</f>
        <v>358</v>
      </c>
      <c r="C363" s="10">
        <f t="shared" si="35"/>
        <v>0.98082191780821915</v>
      </c>
      <c r="D363" s="11">
        <f t="shared" si="36"/>
        <v>15.75</v>
      </c>
      <c r="E363" s="11">
        <f t="shared" si="37"/>
        <v>19.5</v>
      </c>
      <c r="F363" s="11">
        <f t="shared" si="38"/>
        <v>23.5</v>
      </c>
      <c r="G363" s="11">
        <f t="shared" si="39"/>
        <v>31.5</v>
      </c>
      <c r="H363" s="11">
        <f t="shared" si="40"/>
        <v>35.25</v>
      </c>
      <c r="I363" s="11">
        <f t="shared" si="41"/>
        <v>39.25</v>
      </c>
    </row>
    <row r="364" spans="1:9" x14ac:dyDescent="0.2">
      <c r="A364" s="12">
        <f>Calculator!$D$6+359</f>
        <v>46672</v>
      </c>
      <c r="B364" s="13">
        <f>A364-Calculator!$D$6</f>
        <v>359</v>
      </c>
      <c r="C364" s="14">
        <f t="shared" si="35"/>
        <v>0.98356164383561639</v>
      </c>
      <c r="D364" s="15">
        <f t="shared" si="36"/>
        <v>15.75</v>
      </c>
      <c r="E364" s="15">
        <f t="shared" si="37"/>
        <v>19.75</v>
      </c>
      <c r="F364" s="15">
        <f t="shared" si="38"/>
        <v>23.5</v>
      </c>
      <c r="G364" s="15">
        <f t="shared" si="39"/>
        <v>31.5</v>
      </c>
      <c r="H364" s="15">
        <f t="shared" si="40"/>
        <v>35.5</v>
      </c>
      <c r="I364" s="15">
        <f t="shared" si="41"/>
        <v>39.25</v>
      </c>
    </row>
    <row r="365" spans="1:9" x14ac:dyDescent="0.2">
      <c r="A365" s="8">
        <f>Calculator!$D$6+360</f>
        <v>46673</v>
      </c>
      <c r="B365" s="9">
        <f>A365-Calculator!$D$6</f>
        <v>360</v>
      </c>
      <c r="C365" s="10">
        <f t="shared" si="35"/>
        <v>0.98630136986301364</v>
      </c>
      <c r="D365" s="11">
        <f t="shared" si="36"/>
        <v>15.75</v>
      </c>
      <c r="E365" s="11">
        <f t="shared" si="37"/>
        <v>19.75</v>
      </c>
      <c r="F365" s="11">
        <f t="shared" si="38"/>
        <v>23.75</v>
      </c>
      <c r="G365" s="11">
        <f t="shared" si="39"/>
        <v>31.5</v>
      </c>
      <c r="H365" s="11">
        <f t="shared" si="40"/>
        <v>35.5</v>
      </c>
      <c r="I365" s="11">
        <f t="shared" si="41"/>
        <v>39.5</v>
      </c>
    </row>
    <row r="366" spans="1:9" x14ac:dyDescent="0.2">
      <c r="A366" s="12">
        <f>Calculator!$D$6+361</f>
        <v>46674</v>
      </c>
      <c r="B366" s="13">
        <f>A366-Calculator!$D$6</f>
        <v>361</v>
      </c>
      <c r="C366" s="14">
        <f t="shared" si="35"/>
        <v>0.989041095890411</v>
      </c>
      <c r="D366" s="15">
        <f t="shared" si="36"/>
        <v>15.75</v>
      </c>
      <c r="E366" s="15">
        <f t="shared" si="37"/>
        <v>19.75</v>
      </c>
      <c r="F366" s="15">
        <f t="shared" si="38"/>
        <v>23.75</v>
      </c>
      <c r="G366" s="15">
        <f t="shared" si="39"/>
        <v>31.75</v>
      </c>
      <c r="H366" s="15">
        <f t="shared" si="40"/>
        <v>35.5</v>
      </c>
      <c r="I366" s="15">
        <f t="shared" si="41"/>
        <v>39.5</v>
      </c>
    </row>
    <row r="367" spans="1:9" x14ac:dyDescent="0.2">
      <c r="A367" s="8">
        <f>Calculator!$D$6+362</f>
        <v>46675</v>
      </c>
      <c r="B367" s="9">
        <f>A367-Calculator!$D$6</f>
        <v>362</v>
      </c>
      <c r="C367" s="10">
        <f t="shared" si="35"/>
        <v>0.99178082191780825</v>
      </c>
      <c r="D367" s="11">
        <f t="shared" si="36"/>
        <v>15.75</v>
      </c>
      <c r="E367" s="11">
        <f t="shared" si="37"/>
        <v>19.75</v>
      </c>
      <c r="F367" s="11">
        <f t="shared" si="38"/>
        <v>23.75</v>
      </c>
      <c r="G367" s="11">
        <f t="shared" si="39"/>
        <v>31.75</v>
      </c>
      <c r="H367" s="11">
        <f t="shared" si="40"/>
        <v>35.75</v>
      </c>
      <c r="I367" s="11">
        <f t="shared" si="41"/>
        <v>39.75</v>
      </c>
    </row>
    <row r="368" spans="1:9" x14ac:dyDescent="0.2">
      <c r="A368" s="12">
        <f>Calculator!$D$6+363</f>
        <v>46676</v>
      </c>
      <c r="B368" s="13">
        <f>A368-Calculator!$D$6</f>
        <v>363</v>
      </c>
      <c r="C368" s="14">
        <f t="shared" si="35"/>
        <v>0.9945205479452055</v>
      </c>
      <c r="D368" s="15">
        <f t="shared" si="36"/>
        <v>16</v>
      </c>
      <c r="E368" s="15">
        <f t="shared" si="37"/>
        <v>20</v>
      </c>
      <c r="F368" s="15">
        <f t="shared" si="38"/>
        <v>23.75</v>
      </c>
      <c r="G368" s="15">
        <f t="shared" si="39"/>
        <v>31.75</v>
      </c>
      <c r="H368" s="15">
        <f t="shared" si="40"/>
        <v>35.75</v>
      </c>
      <c r="I368" s="15">
        <f t="shared" si="41"/>
        <v>39.75</v>
      </c>
    </row>
    <row r="369" spans="1:9" x14ac:dyDescent="0.2">
      <c r="A369" s="8">
        <f>Calculator!$D$6+364</f>
        <v>46677</v>
      </c>
      <c r="B369" s="9">
        <f>A369-Calculator!$D$6</f>
        <v>364</v>
      </c>
      <c r="C369" s="10">
        <f t="shared" si="35"/>
        <v>0.99726027397260275</v>
      </c>
      <c r="D369" s="11">
        <f t="shared" si="36"/>
        <v>16</v>
      </c>
      <c r="E369" s="11">
        <f t="shared" si="37"/>
        <v>20</v>
      </c>
      <c r="F369" s="11">
        <f t="shared" si="38"/>
        <v>24</v>
      </c>
      <c r="G369" s="11">
        <f t="shared" si="39"/>
        <v>32</v>
      </c>
      <c r="H369" s="11">
        <f t="shared" si="40"/>
        <v>36</v>
      </c>
      <c r="I369" s="11">
        <f t="shared" si="41"/>
        <v>40</v>
      </c>
    </row>
    <row r="371" spans="1:9" ht="27.75" customHeight="1" x14ac:dyDescent="0.2">
      <c r="A371" s="33" t="s">
        <v>43</v>
      </c>
      <c r="B371" s="33"/>
      <c r="C371" s="33"/>
      <c r="D371" s="33"/>
      <c r="E371" s="33"/>
      <c r="F371" s="33"/>
      <c r="G371" s="33"/>
      <c r="H371" s="33"/>
      <c r="I371" s="33"/>
    </row>
  </sheetData>
  <mergeCells count="3">
    <mergeCell ref="A1:I1"/>
    <mergeCell ref="A2:I2"/>
    <mergeCell ref="A371:I37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Calculator</vt:lpstr>
      <vt:lpstr>Anniversary Date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Joe LaPaglia</cp:lastModifiedBy>
  <cp:revision>1</cp:revision>
  <dcterms:created xsi:type="dcterms:W3CDTF">2026-08-17T13:59:51Z</dcterms:created>
  <dcterms:modified xsi:type="dcterms:W3CDTF">2026-08-17T14:11:13Z</dcterms:modified>
  <dc:language>en-US</dc:language>
</cp:coreProperties>
</file>